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a\Desktop\Nova mapa\06. IZVRŠENJA\12. Izvršenje 2022\I-XII\Izvršenje I-XII 2022\"/>
    </mc:Choice>
  </mc:AlternateContent>
  <xr:revisionPtr revIDLastSave="0" documentId="13_ncr:1_{51416758-FF0C-4171-A9E1-AF9915CC2AFA}" xr6:coauthVersionLast="47" xr6:coauthVersionMax="47" xr10:uidLastSave="{00000000-0000-0000-0000-000000000000}"/>
  <bookViews>
    <workbookView xWindow="-120" yWindow="-120" windowWidth="29040" windowHeight="15840" xr2:uid="{C19A8B51-5FB0-47F3-84D2-601AF6B45298}"/>
  </bookViews>
  <sheets>
    <sheet name="31.12.22. PRERASPODJELA" sheetId="2" r:id="rId1"/>
    <sheet name="31.12.2022." sheetId="1" r:id="rId2"/>
    <sheet name="2010-2022" sheetId="4" r:id="rId3"/>
    <sheet name="PRIHODI I RASHODI 2022" sheetId="3" r:id="rId4"/>
    <sheet name="PRIHODI I RASHODI 2021" sheetId="5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9" i="4" l="1"/>
  <c r="X18" i="4"/>
  <c r="Y18" i="4"/>
  <c r="Z18" i="4"/>
  <c r="AA18" i="4"/>
  <c r="L70" i="3"/>
  <c r="L82" i="3"/>
  <c r="L77" i="3"/>
  <c r="L76" i="3"/>
  <c r="S63" i="3"/>
  <c r="T64" i="3"/>
  <c r="L59" i="3"/>
  <c r="L60" i="3"/>
  <c r="L58" i="3"/>
  <c r="E81" i="3"/>
  <c r="I62" i="3"/>
  <c r="G62" i="3"/>
  <c r="E62" i="3"/>
  <c r="I81" i="5"/>
  <c r="L81" i="5" s="1"/>
  <c r="G81" i="5"/>
  <c r="E81" i="5"/>
  <c r="L80" i="5"/>
  <c r="L79" i="5"/>
  <c r="K78" i="5"/>
  <c r="I78" i="5"/>
  <c r="I82" i="5" s="1"/>
  <c r="G78" i="5"/>
  <c r="G82" i="5" s="1"/>
  <c r="E78" i="5"/>
  <c r="E82" i="5" s="1"/>
  <c r="L77" i="5"/>
  <c r="L76" i="5"/>
  <c r="K69" i="5"/>
  <c r="I68" i="5"/>
  <c r="G68" i="5"/>
  <c r="E68" i="5"/>
  <c r="I67" i="5"/>
  <c r="L67" i="5" s="1"/>
  <c r="G67" i="5"/>
  <c r="E67" i="5"/>
  <c r="U64" i="5"/>
  <c r="T64" i="5"/>
  <c r="S64" i="5"/>
  <c r="S65" i="5" s="1"/>
  <c r="L63" i="5"/>
  <c r="K62" i="5"/>
  <c r="I62" i="5"/>
  <c r="I66" i="5" s="1"/>
  <c r="G62" i="5"/>
  <c r="G66" i="5" s="1"/>
  <c r="E62" i="5"/>
  <c r="E66" i="5" s="1"/>
  <c r="S61" i="5"/>
  <c r="L61" i="5"/>
  <c r="S60" i="5"/>
  <c r="S59" i="5"/>
  <c r="L59" i="5"/>
  <c r="C50" i="5"/>
  <c r="B50" i="5"/>
  <c r="I38" i="5"/>
  <c r="J38" i="5" s="1"/>
  <c r="L38" i="5" s="1"/>
  <c r="G37" i="5"/>
  <c r="E37" i="5"/>
  <c r="I36" i="5"/>
  <c r="H36" i="5"/>
  <c r="G36" i="5"/>
  <c r="F36" i="5"/>
  <c r="E36" i="5"/>
  <c r="C36" i="5"/>
  <c r="J35" i="5"/>
  <c r="G34" i="5"/>
  <c r="E34" i="5"/>
  <c r="C34" i="5"/>
  <c r="H33" i="5"/>
  <c r="I33" i="5" s="1"/>
  <c r="J33" i="5" s="1"/>
  <c r="L33" i="5" s="1"/>
  <c r="F33" i="5"/>
  <c r="H32" i="5"/>
  <c r="I32" i="5" s="1"/>
  <c r="J32" i="5" s="1"/>
  <c r="L32" i="5" s="1"/>
  <c r="F32" i="5"/>
  <c r="H31" i="5"/>
  <c r="F31" i="5"/>
  <c r="H30" i="5"/>
  <c r="G30" i="5"/>
  <c r="F30" i="5"/>
  <c r="E30" i="5"/>
  <c r="C30" i="5"/>
  <c r="C37" i="5" s="1"/>
  <c r="I29" i="5"/>
  <c r="I25" i="5"/>
  <c r="J25" i="5" s="1"/>
  <c r="L25" i="5" s="1"/>
  <c r="G24" i="5"/>
  <c r="E24" i="5"/>
  <c r="I23" i="5"/>
  <c r="H23" i="5"/>
  <c r="G23" i="5"/>
  <c r="F23" i="5"/>
  <c r="E23" i="5"/>
  <c r="C23" i="5"/>
  <c r="J22" i="5"/>
  <c r="G21" i="5"/>
  <c r="E21" i="5"/>
  <c r="C21" i="5"/>
  <c r="H20" i="5"/>
  <c r="I20" i="5" s="1"/>
  <c r="J20" i="5" s="1"/>
  <c r="L20" i="5" s="1"/>
  <c r="F20" i="5"/>
  <c r="H19" i="5"/>
  <c r="I19" i="5" s="1"/>
  <c r="J19" i="5" s="1"/>
  <c r="L19" i="5" s="1"/>
  <c r="F19" i="5"/>
  <c r="H18" i="5"/>
  <c r="F18" i="5"/>
  <c r="H17" i="5"/>
  <c r="G17" i="5"/>
  <c r="F17" i="5"/>
  <c r="E17" i="5"/>
  <c r="C17" i="5"/>
  <c r="C24" i="5" s="1"/>
  <c r="I16" i="5"/>
  <c r="M10" i="5"/>
  <c r="G10" i="5"/>
  <c r="E10" i="5"/>
  <c r="M9" i="5"/>
  <c r="G9" i="5"/>
  <c r="E9" i="5"/>
  <c r="M8" i="5"/>
  <c r="G8" i="5"/>
  <c r="E8" i="5"/>
  <c r="M7" i="5"/>
  <c r="M11" i="5" s="1"/>
  <c r="M12" i="5" s="1"/>
  <c r="G7" i="5"/>
  <c r="G11" i="5" s="1"/>
  <c r="G12" i="5" s="1"/>
  <c r="E7" i="5"/>
  <c r="E11" i="5" s="1"/>
  <c r="E12" i="5" s="1"/>
  <c r="I6" i="5"/>
  <c r="C5" i="5"/>
  <c r="R3" i="5"/>
  <c r="R4" i="5" s="1"/>
  <c r="P3" i="5"/>
  <c r="P5" i="5" s="1"/>
  <c r="O3" i="5"/>
  <c r="O5" i="5" s="1"/>
  <c r="M3" i="5"/>
  <c r="M5" i="5" s="1"/>
  <c r="G3" i="5"/>
  <c r="G5" i="5" s="1"/>
  <c r="E3" i="5"/>
  <c r="E5" i="5" s="1"/>
  <c r="P59" i="4"/>
  <c r="N59" i="4"/>
  <c r="Y49" i="4"/>
  <c r="P42" i="4"/>
  <c r="P37" i="4"/>
  <c r="P28" i="4"/>
  <c r="P22" i="4"/>
  <c r="P17" i="4"/>
  <c r="P15" i="4"/>
  <c r="P11" i="4"/>
  <c r="P18" i="4" s="1"/>
  <c r="Y55" i="4"/>
  <c r="O42" i="4"/>
  <c r="O37" i="4"/>
  <c r="O28" i="4"/>
  <c r="O22" i="4"/>
  <c r="O43" i="4" s="1"/>
  <c r="O17" i="4"/>
  <c r="O15" i="4"/>
  <c r="O11" i="4"/>
  <c r="Q67" i="4"/>
  <c r="M67" i="4"/>
  <c r="AA66" i="4"/>
  <c r="Y66" i="4"/>
  <c r="V66" i="4"/>
  <c r="AA65" i="4"/>
  <c r="Z65" i="4"/>
  <c r="Y65" i="4"/>
  <c r="X65" i="4"/>
  <c r="W65" i="4"/>
  <c r="V65" i="4"/>
  <c r="U65" i="4"/>
  <c r="T65" i="4"/>
  <c r="S65" i="4"/>
  <c r="R65" i="4"/>
  <c r="Q65" i="4"/>
  <c r="M65" i="4"/>
  <c r="L65" i="4"/>
  <c r="K65" i="4"/>
  <c r="J65" i="4"/>
  <c r="I65" i="4"/>
  <c r="H65" i="4"/>
  <c r="G65" i="4"/>
  <c r="F65" i="4"/>
  <c r="E65" i="4"/>
  <c r="D65" i="4"/>
  <c r="C65" i="4"/>
  <c r="U60" i="4"/>
  <c r="U67" i="4" s="1"/>
  <c r="T60" i="4"/>
  <c r="T67" i="4" s="1"/>
  <c r="AA59" i="4"/>
  <c r="Z59" i="4"/>
  <c r="X59" i="4"/>
  <c r="S59" i="4"/>
  <c r="S60" i="4" s="1"/>
  <c r="R59" i="4"/>
  <c r="R60" i="4" s="1"/>
  <c r="R67" i="4" s="1"/>
  <c r="N60" i="4"/>
  <c r="N67" i="4" s="1"/>
  <c r="L59" i="4"/>
  <c r="Y59" i="4" s="1"/>
  <c r="K59" i="4"/>
  <c r="J59" i="4"/>
  <c r="I59" i="4"/>
  <c r="I60" i="4" s="1"/>
  <c r="I67" i="4" s="1"/>
  <c r="H59" i="4"/>
  <c r="G59" i="4"/>
  <c r="F59" i="4"/>
  <c r="E59" i="4"/>
  <c r="D59" i="4"/>
  <c r="C59" i="4"/>
  <c r="Y58" i="4"/>
  <c r="W58" i="4"/>
  <c r="V58" i="4"/>
  <c r="Y57" i="4"/>
  <c r="Y56" i="4"/>
  <c r="Y54" i="4"/>
  <c r="Y53" i="4"/>
  <c r="Y52" i="4"/>
  <c r="W52" i="4"/>
  <c r="V52" i="4"/>
  <c r="Y51" i="4"/>
  <c r="V51" i="4"/>
  <c r="Y50" i="4"/>
  <c r="V50" i="4"/>
  <c r="Y48" i="4"/>
  <c r="W48" i="4"/>
  <c r="W59" i="4" s="1"/>
  <c r="V48" i="4"/>
  <c r="V59" i="4" s="1"/>
  <c r="Z47" i="4"/>
  <c r="Z60" i="4" s="1"/>
  <c r="Z67" i="4" s="1"/>
  <c r="V47" i="4"/>
  <c r="Y46" i="4"/>
  <c r="V46" i="4"/>
  <c r="F46" i="4"/>
  <c r="E46" i="4"/>
  <c r="D46" i="4"/>
  <c r="C46" i="4"/>
  <c r="Y45" i="4"/>
  <c r="V45" i="4"/>
  <c r="K45" i="4"/>
  <c r="K46" i="4" s="1"/>
  <c r="H45" i="4"/>
  <c r="H46" i="4" s="1"/>
  <c r="G45" i="4"/>
  <c r="G46" i="4" s="1"/>
  <c r="Y44" i="4"/>
  <c r="W44" i="4"/>
  <c r="W45" i="4" s="1"/>
  <c r="W46" i="4" s="1"/>
  <c r="V44" i="4"/>
  <c r="V43" i="4"/>
  <c r="AA42" i="4"/>
  <c r="AA43" i="4" s="1"/>
  <c r="AA47" i="4" s="1"/>
  <c r="AA60" i="4" s="1"/>
  <c r="AA67" i="4" s="1"/>
  <c r="V42" i="4"/>
  <c r="L42" i="4"/>
  <c r="Y42" i="4" s="1"/>
  <c r="K42" i="4"/>
  <c r="J42" i="4"/>
  <c r="H42" i="4"/>
  <c r="G42" i="4"/>
  <c r="F42" i="4"/>
  <c r="E42" i="4"/>
  <c r="D42" i="4"/>
  <c r="C42" i="4"/>
  <c r="Y41" i="4"/>
  <c r="W41" i="4"/>
  <c r="V41" i="4"/>
  <c r="Y40" i="4"/>
  <c r="W40" i="4"/>
  <c r="V40" i="4"/>
  <c r="Y39" i="4"/>
  <c r="W39" i="4"/>
  <c r="V39" i="4"/>
  <c r="Y38" i="4"/>
  <c r="W38" i="4"/>
  <c r="W42" i="4" s="1"/>
  <c r="V38" i="4"/>
  <c r="X37" i="4"/>
  <c r="V37" i="4"/>
  <c r="L37" i="4"/>
  <c r="Y37" i="4" s="1"/>
  <c r="K37" i="4"/>
  <c r="J37" i="4"/>
  <c r="H37" i="4"/>
  <c r="G37" i="4"/>
  <c r="F37" i="4"/>
  <c r="E37" i="4"/>
  <c r="D37" i="4"/>
  <c r="C37" i="4"/>
  <c r="Y36" i="4"/>
  <c r="W36" i="4"/>
  <c r="V36" i="4"/>
  <c r="Y35" i="4"/>
  <c r="W35" i="4"/>
  <c r="V35" i="4"/>
  <c r="Y34" i="4"/>
  <c r="W34" i="4"/>
  <c r="V34" i="4"/>
  <c r="Y33" i="4"/>
  <c r="W33" i="4"/>
  <c r="Y32" i="4"/>
  <c r="W32" i="4"/>
  <c r="V32" i="4"/>
  <c r="Y31" i="4"/>
  <c r="W31" i="4"/>
  <c r="V31" i="4"/>
  <c r="Y30" i="4"/>
  <c r="W30" i="4"/>
  <c r="V30" i="4"/>
  <c r="Y29" i="4"/>
  <c r="W29" i="4"/>
  <c r="W37" i="4" s="1"/>
  <c r="V29" i="4"/>
  <c r="V28" i="4"/>
  <c r="L28" i="4"/>
  <c r="Y28" i="4" s="1"/>
  <c r="K28" i="4"/>
  <c r="J28" i="4"/>
  <c r="H28" i="4"/>
  <c r="G28" i="4"/>
  <c r="F28" i="4"/>
  <c r="E28" i="4"/>
  <c r="D28" i="4"/>
  <c r="C28" i="4"/>
  <c r="Y27" i="4"/>
  <c r="W27" i="4"/>
  <c r="V27" i="4"/>
  <c r="Y26" i="4"/>
  <c r="W26" i="4"/>
  <c r="V26" i="4"/>
  <c r="Y25" i="4"/>
  <c r="W25" i="4"/>
  <c r="Y24" i="4"/>
  <c r="W24" i="4"/>
  <c r="V24" i="4"/>
  <c r="Y23" i="4"/>
  <c r="W23" i="4"/>
  <c r="W28" i="4" s="1"/>
  <c r="V23" i="4"/>
  <c r="X22" i="4"/>
  <c r="X43" i="4" s="1"/>
  <c r="X47" i="4" s="1"/>
  <c r="X60" i="4" s="1"/>
  <c r="X67" i="4" s="1"/>
  <c r="V22" i="4"/>
  <c r="L22" i="4"/>
  <c r="K22" i="4"/>
  <c r="K43" i="4" s="1"/>
  <c r="J22" i="4"/>
  <c r="J43" i="4" s="1"/>
  <c r="H22" i="4"/>
  <c r="H43" i="4" s="1"/>
  <c r="G22" i="4"/>
  <c r="G43" i="4" s="1"/>
  <c r="F22" i="4"/>
  <c r="F43" i="4" s="1"/>
  <c r="E22" i="4"/>
  <c r="E43" i="4" s="1"/>
  <c r="D22" i="4"/>
  <c r="D43" i="4" s="1"/>
  <c r="C22" i="4"/>
  <c r="C43" i="4" s="1"/>
  <c r="Y21" i="4"/>
  <c r="W21" i="4"/>
  <c r="V21" i="4"/>
  <c r="Y20" i="4"/>
  <c r="W20" i="4"/>
  <c r="V20" i="4"/>
  <c r="Y19" i="4"/>
  <c r="W19" i="4"/>
  <c r="W22" i="4" s="1"/>
  <c r="W43" i="4" s="1"/>
  <c r="V19" i="4"/>
  <c r="L18" i="4"/>
  <c r="K18" i="4"/>
  <c r="K47" i="4" s="1"/>
  <c r="K60" i="4" s="1"/>
  <c r="K67" i="4" s="1"/>
  <c r="J18" i="4"/>
  <c r="J47" i="4" s="1"/>
  <c r="J60" i="4" s="1"/>
  <c r="J67" i="4" s="1"/>
  <c r="L17" i="4"/>
  <c r="Y17" i="4" s="1"/>
  <c r="K17" i="4"/>
  <c r="J17" i="4"/>
  <c r="H17" i="4"/>
  <c r="G17" i="4"/>
  <c r="F17" i="4"/>
  <c r="E17" i="4"/>
  <c r="D17" i="4"/>
  <c r="C17" i="4"/>
  <c r="Y16" i="4"/>
  <c r="W16" i="4"/>
  <c r="W17" i="4" s="1"/>
  <c r="U16" i="4"/>
  <c r="U17" i="4" s="1"/>
  <c r="T16" i="4"/>
  <c r="T17" i="4" s="1"/>
  <c r="S16" i="4"/>
  <c r="R16" i="4"/>
  <c r="R17" i="4" s="1"/>
  <c r="L15" i="4"/>
  <c r="Y15" i="4" s="1"/>
  <c r="K15" i="4"/>
  <c r="J15" i="4"/>
  <c r="H15" i="4"/>
  <c r="G15" i="4"/>
  <c r="F15" i="4"/>
  <c r="E15" i="4"/>
  <c r="D15" i="4"/>
  <c r="C15" i="4"/>
  <c r="Y14" i="4"/>
  <c r="W14" i="4"/>
  <c r="V14" i="4"/>
  <c r="Y13" i="4"/>
  <c r="W13" i="4"/>
  <c r="U13" i="4"/>
  <c r="T13" i="4"/>
  <c r="S13" i="4"/>
  <c r="V13" i="4" s="1"/>
  <c r="R13" i="4"/>
  <c r="Y12" i="4"/>
  <c r="W12" i="4"/>
  <c r="W15" i="4" s="1"/>
  <c r="U12" i="4"/>
  <c r="U15" i="4" s="1"/>
  <c r="T12" i="4"/>
  <c r="T15" i="4" s="1"/>
  <c r="S12" i="4"/>
  <c r="R12" i="4"/>
  <c r="R15" i="4" s="1"/>
  <c r="L11" i="4"/>
  <c r="Y11" i="4" s="1"/>
  <c r="K11" i="4"/>
  <c r="J11" i="4"/>
  <c r="H11" i="4"/>
  <c r="H18" i="4" s="1"/>
  <c r="H47" i="4" s="1"/>
  <c r="H60" i="4" s="1"/>
  <c r="H67" i="4" s="1"/>
  <c r="G11" i="4"/>
  <c r="G18" i="4" s="1"/>
  <c r="G47" i="4" s="1"/>
  <c r="G60" i="4" s="1"/>
  <c r="G67" i="4" s="1"/>
  <c r="F11" i="4"/>
  <c r="F18" i="4" s="1"/>
  <c r="F47" i="4" s="1"/>
  <c r="F60" i="4" s="1"/>
  <c r="F67" i="4" s="1"/>
  <c r="E11" i="4"/>
  <c r="E18" i="4" s="1"/>
  <c r="E47" i="4" s="1"/>
  <c r="E60" i="4" s="1"/>
  <c r="E67" i="4" s="1"/>
  <c r="D11" i="4"/>
  <c r="D18" i="4" s="1"/>
  <c r="D47" i="4" s="1"/>
  <c r="D60" i="4" s="1"/>
  <c r="D67" i="4" s="1"/>
  <c r="C11" i="4"/>
  <c r="C18" i="4" s="1"/>
  <c r="C47" i="4" s="1"/>
  <c r="C60" i="4" s="1"/>
  <c r="C67" i="4" s="1"/>
  <c r="Y10" i="4"/>
  <c r="W10" i="4"/>
  <c r="U10" i="4"/>
  <c r="U11" i="4" s="1"/>
  <c r="U18" i="4" s="1"/>
  <c r="T10" i="4"/>
  <c r="T11" i="4" s="1"/>
  <c r="T18" i="4" s="1"/>
  <c r="S10" i="4"/>
  <c r="R10" i="4"/>
  <c r="R11" i="4" s="1"/>
  <c r="R18" i="4" s="1"/>
  <c r="I81" i="3"/>
  <c r="L81" i="3" s="1"/>
  <c r="G81" i="3"/>
  <c r="L80" i="3"/>
  <c r="L79" i="3"/>
  <c r="K78" i="3"/>
  <c r="K82" i="3" s="1"/>
  <c r="I78" i="3"/>
  <c r="I82" i="3" s="1"/>
  <c r="G78" i="3"/>
  <c r="G82" i="3" s="1"/>
  <c r="E78" i="3"/>
  <c r="E82" i="3" s="1"/>
  <c r="K69" i="3"/>
  <c r="L67" i="3"/>
  <c r="U64" i="3"/>
  <c r="S64" i="3" s="1"/>
  <c r="K63" i="3" s="1"/>
  <c r="L63" i="3" s="1"/>
  <c r="S65" i="3"/>
  <c r="K62" i="3"/>
  <c r="I66" i="3"/>
  <c r="G66" i="3"/>
  <c r="E66" i="3"/>
  <c r="S61" i="3"/>
  <c r="S60" i="3"/>
  <c r="S59" i="3"/>
  <c r="C50" i="3"/>
  <c r="B50" i="3"/>
  <c r="I38" i="3"/>
  <c r="J38" i="3" s="1"/>
  <c r="L38" i="3" s="1"/>
  <c r="G37" i="3"/>
  <c r="E37" i="3"/>
  <c r="I36" i="3"/>
  <c r="H36" i="3"/>
  <c r="G36" i="3"/>
  <c r="F36" i="3"/>
  <c r="E36" i="3"/>
  <c r="C36" i="3"/>
  <c r="J35" i="3"/>
  <c r="G34" i="3"/>
  <c r="E34" i="3"/>
  <c r="C34" i="3"/>
  <c r="H33" i="3"/>
  <c r="I33" i="3" s="1"/>
  <c r="J33" i="3" s="1"/>
  <c r="L33" i="3" s="1"/>
  <c r="F33" i="3"/>
  <c r="H32" i="3"/>
  <c r="I32" i="3" s="1"/>
  <c r="J32" i="3" s="1"/>
  <c r="L32" i="3" s="1"/>
  <c r="F32" i="3"/>
  <c r="H31" i="3"/>
  <c r="F31" i="3"/>
  <c r="H30" i="3"/>
  <c r="G30" i="3"/>
  <c r="F30" i="3"/>
  <c r="E30" i="3"/>
  <c r="C30" i="3"/>
  <c r="C37" i="3" s="1"/>
  <c r="I29" i="3"/>
  <c r="I25" i="3"/>
  <c r="J25" i="3" s="1"/>
  <c r="L25" i="3" s="1"/>
  <c r="G24" i="3"/>
  <c r="E24" i="3"/>
  <c r="I23" i="3"/>
  <c r="H23" i="3"/>
  <c r="G23" i="3"/>
  <c r="F23" i="3"/>
  <c r="E23" i="3"/>
  <c r="C23" i="3"/>
  <c r="J22" i="3"/>
  <c r="G21" i="3"/>
  <c r="E21" i="3"/>
  <c r="C21" i="3"/>
  <c r="H20" i="3"/>
  <c r="I20" i="3" s="1"/>
  <c r="J20" i="3" s="1"/>
  <c r="L20" i="3" s="1"/>
  <c r="F20" i="3"/>
  <c r="H19" i="3"/>
  <c r="I19" i="3" s="1"/>
  <c r="J19" i="3" s="1"/>
  <c r="L19" i="3" s="1"/>
  <c r="F19" i="3"/>
  <c r="H18" i="3"/>
  <c r="F18" i="3"/>
  <c r="H17" i="3"/>
  <c r="G17" i="3"/>
  <c r="F17" i="3"/>
  <c r="E17" i="3"/>
  <c r="C17" i="3"/>
  <c r="C24" i="3" s="1"/>
  <c r="I16" i="3"/>
  <c r="M10" i="3"/>
  <c r="G10" i="3"/>
  <c r="E10" i="3"/>
  <c r="M9" i="3"/>
  <c r="G9" i="3"/>
  <c r="E9" i="3"/>
  <c r="M8" i="3"/>
  <c r="G8" i="3"/>
  <c r="E8" i="3"/>
  <c r="M7" i="3"/>
  <c r="M11" i="3" s="1"/>
  <c r="M12" i="3" s="1"/>
  <c r="G7" i="3"/>
  <c r="G11" i="3" s="1"/>
  <c r="G12" i="3" s="1"/>
  <c r="E7" i="3"/>
  <c r="E11" i="3" s="1"/>
  <c r="E12" i="3" s="1"/>
  <c r="I6" i="3"/>
  <c r="C5" i="3"/>
  <c r="R3" i="3"/>
  <c r="R4" i="3" s="1"/>
  <c r="P3" i="3"/>
  <c r="P5" i="3" s="1"/>
  <c r="O3" i="3"/>
  <c r="O5" i="3" s="1"/>
  <c r="M3" i="3"/>
  <c r="M5" i="3" s="1"/>
  <c r="G3" i="3"/>
  <c r="G5" i="3" s="1"/>
  <c r="E3" i="3"/>
  <c r="E5" i="3" s="1"/>
  <c r="C109" i="2"/>
  <c r="B109" i="2"/>
  <c r="K97" i="2"/>
  <c r="L97" i="2" s="1"/>
  <c r="M97" i="2" s="1"/>
  <c r="I96" i="2"/>
  <c r="K95" i="2"/>
  <c r="J95" i="2"/>
  <c r="I95" i="2"/>
  <c r="C95" i="2"/>
  <c r="L94" i="2"/>
  <c r="I93" i="2"/>
  <c r="C93" i="2"/>
  <c r="J92" i="2"/>
  <c r="K92" i="2" s="1"/>
  <c r="L92" i="2" s="1"/>
  <c r="M92" i="2" s="1"/>
  <c r="J91" i="2"/>
  <c r="K91" i="2" s="1"/>
  <c r="L91" i="2" s="1"/>
  <c r="M91" i="2" s="1"/>
  <c r="J90" i="2"/>
  <c r="J89" i="2"/>
  <c r="I89" i="2"/>
  <c r="C89" i="2"/>
  <c r="C96" i="2" s="1"/>
  <c r="K88" i="2"/>
  <c r="K84" i="2"/>
  <c r="L84" i="2" s="1"/>
  <c r="M84" i="2" s="1"/>
  <c r="I83" i="2"/>
  <c r="K82" i="2"/>
  <c r="J82" i="2"/>
  <c r="I82" i="2"/>
  <c r="C82" i="2"/>
  <c r="L81" i="2"/>
  <c r="I80" i="2"/>
  <c r="C80" i="2"/>
  <c r="J79" i="2"/>
  <c r="K79" i="2" s="1"/>
  <c r="L79" i="2" s="1"/>
  <c r="M79" i="2" s="1"/>
  <c r="J78" i="2"/>
  <c r="K78" i="2" s="1"/>
  <c r="L78" i="2" s="1"/>
  <c r="M78" i="2" s="1"/>
  <c r="J77" i="2"/>
  <c r="J76" i="2"/>
  <c r="I76" i="2"/>
  <c r="C76" i="2"/>
  <c r="C83" i="2" s="1"/>
  <c r="K75" i="2"/>
  <c r="C64" i="2"/>
  <c r="V60" i="2"/>
  <c r="T60" i="2"/>
  <c r="S60" i="2"/>
  <c r="R60" i="2"/>
  <c r="Q60" i="2"/>
  <c r="P60" i="2"/>
  <c r="O60" i="2"/>
  <c r="I60" i="2"/>
  <c r="H60" i="2"/>
  <c r="G60" i="2"/>
  <c r="F60" i="2"/>
  <c r="E60" i="2"/>
  <c r="D60" i="2"/>
  <c r="C60" i="2"/>
  <c r="U59" i="2"/>
  <c r="W59" i="2" s="1"/>
  <c r="N59" i="2"/>
  <c r="M59" i="2"/>
  <c r="L59" i="2"/>
  <c r="K59" i="2"/>
  <c r="J59" i="2"/>
  <c r="X58" i="2"/>
  <c r="U58" i="2"/>
  <c r="W58" i="2" s="1"/>
  <c r="N58" i="2"/>
  <c r="Y57" i="2"/>
  <c r="X57" i="2"/>
  <c r="U57" i="2"/>
  <c r="W57" i="2" s="1"/>
  <c r="N57" i="2"/>
  <c r="U55" i="2"/>
  <c r="W55" i="2" s="1"/>
  <c r="N55" i="2"/>
  <c r="M55" i="2"/>
  <c r="L55" i="2"/>
  <c r="K55" i="2"/>
  <c r="J55" i="2"/>
  <c r="U54" i="2"/>
  <c r="W54" i="2" s="1"/>
  <c r="N54" i="2"/>
  <c r="M54" i="2"/>
  <c r="L54" i="2"/>
  <c r="K54" i="2"/>
  <c r="J54" i="2"/>
  <c r="Y53" i="2"/>
  <c r="U53" i="2"/>
  <c r="W53" i="2" s="1"/>
  <c r="N53" i="2"/>
  <c r="M53" i="2"/>
  <c r="L53" i="2"/>
  <c r="K53" i="2"/>
  <c r="J53" i="2"/>
  <c r="Y52" i="2"/>
  <c r="X52" i="2"/>
  <c r="W52" i="2"/>
  <c r="N52" i="2"/>
  <c r="M52" i="2"/>
  <c r="L52" i="2"/>
  <c r="K52" i="2"/>
  <c r="J52" i="2"/>
  <c r="Y51" i="2"/>
  <c r="X51" i="2"/>
  <c r="W51" i="2"/>
  <c r="N51" i="2"/>
  <c r="M51" i="2"/>
  <c r="L51" i="2"/>
  <c r="K51" i="2"/>
  <c r="J51" i="2"/>
  <c r="Y50" i="2"/>
  <c r="X50" i="2"/>
  <c r="U50" i="2"/>
  <c r="N50" i="2"/>
  <c r="M50" i="2"/>
  <c r="L50" i="2"/>
  <c r="K50" i="2"/>
  <c r="J50" i="2"/>
  <c r="Y49" i="2"/>
  <c r="X49" i="2"/>
  <c r="W49" i="2"/>
  <c r="N49" i="2"/>
  <c r="N60" i="2" s="1"/>
  <c r="M49" i="2"/>
  <c r="M60" i="2" s="1"/>
  <c r="L49" i="2"/>
  <c r="L60" i="2" s="1"/>
  <c r="K49" i="2"/>
  <c r="K60" i="2" s="1"/>
  <c r="J49" i="2"/>
  <c r="J60" i="2" s="1"/>
  <c r="Y47" i="2"/>
  <c r="Y46" i="2"/>
  <c r="V46" i="2"/>
  <c r="V47" i="2" s="1"/>
  <c r="U46" i="2"/>
  <c r="U47" i="2" s="1"/>
  <c r="Q46" i="2"/>
  <c r="Q47" i="2" s="1"/>
  <c r="P46" i="2"/>
  <c r="P47" i="2" s="1"/>
  <c r="O46" i="2"/>
  <c r="O47" i="2" s="1"/>
  <c r="I46" i="2"/>
  <c r="I47" i="2" s="1"/>
  <c r="C46" i="2"/>
  <c r="C47" i="2" s="1"/>
  <c r="Y45" i="2"/>
  <c r="W45" i="2"/>
  <c r="W46" i="2" s="1"/>
  <c r="W47" i="2" s="1"/>
  <c r="N45" i="2"/>
  <c r="N46" i="2" s="1"/>
  <c r="N47" i="2" s="1"/>
  <c r="M45" i="2"/>
  <c r="M46" i="2" s="1"/>
  <c r="M47" i="2" s="1"/>
  <c r="L45" i="2"/>
  <c r="L46" i="2" s="1"/>
  <c r="L47" i="2" s="1"/>
  <c r="K45" i="2"/>
  <c r="K46" i="2" s="1"/>
  <c r="K47" i="2" s="1"/>
  <c r="J45" i="2"/>
  <c r="J46" i="2" s="1"/>
  <c r="J47" i="2" s="1"/>
  <c r="R44" i="2"/>
  <c r="R48" i="2" s="1"/>
  <c r="R61" i="2" s="1"/>
  <c r="T43" i="2"/>
  <c r="S43" i="2"/>
  <c r="Q43" i="2"/>
  <c r="P43" i="2"/>
  <c r="O43" i="2"/>
  <c r="I43" i="2"/>
  <c r="G43" i="2"/>
  <c r="F43" i="2"/>
  <c r="E43" i="2"/>
  <c r="D43" i="2"/>
  <c r="C43" i="2"/>
  <c r="Y42" i="2"/>
  <c r="X42" i="2"/>
  <c r="V42" i="2"/>
  <c r="U42" i="2"/>
  <c r="W42" i="2" s="1"/>
  <c r="N42" i="2"/>
  <c r="M42" i="2"/>
  <c r="L42" i="2"/>
  <c r="K42" i="2"/>
  <c r="J42" i="2"/>
  <c r="Y41" i="2"/>
  <c r="X41" i="2"/>
  <c r="V41" i="2"/>
  <c r="U41" i="2"/>
  <c r="W41" i="2" s="1"/>
  <c r="N41" i="2"/>
  <c r="M41" i="2"/>
  <c r="L41" i="2"/>
  <c r="K41" i="2"/>
  <c r="J41" i="2"/>
  <c r="Y40" i="2"/>
  <c r="X40" i="2"/>
  <c r="V40" i="2"/>
  <c r="U40" i="2"/>
  <c r="W40" i="2" s="1"/>
  <c r="N40" i="2"/>
  <c r="M40" i="2"/>
  <c r="L40" i="2"/>
  <c r="K40" i="2"/>
  <c r="J40" i="2"/>
  <c r="V39" i="2"/>
  <c r="V43" i="2" s="1"/>
  <c r="U39" i="2"/>
  <c r="N39" i="2"/>
  <c r="N43" i="2" s="1"/>
  <c r="M39" i="2"/>
  <c r="M43" i="2" s="1"/>
  <c r="L39" i="2"/>
  <c r="L43" i="2" s="1"/>
  <c r="K39" i="2"/>
  <c r="K43" i="2" s="1"/>
  <c r="J39" i="2"/>
  <c r="J43" i="2" s="1"/>
  <c r="T38" i="2"/>
  <c r="S38" i="2"/>
  <c r="Q38" i="2"/>
  <c r="P38" i="2"/>
  <c r="O38" i="2"/>
  <c r="I38" i="2"/>
  <c r="G38" i="2"/>
  <c r="F38" i="2"/>
  <c r="E38" i="2"/>
  <c r="D38" i="2"/>
  <c r="C38" i="2"/>
  <c r="Y37" i="2"/>
  <c r="X37" i="2"/>
  <c r="V37" i="2"/>
  <c r="U37" i="2"/>
  <c r="W37" i="2" s="1"/>
  <c r="N37" i="2"/>
  <c r="M37" i="2"/>
  <c r="L37" i="2"/>
  <c r="K37" i="2"/>
  <c r="J37" i="2"/>
  <c r="Y36" i="2"/>
  <c r="X36" i="2"/>
  <c r="V36" i="2"/>
  <c r="U36" i="2"/>
  <c r="W36" i="2" s="1"/>
  <c r="N36" i="2"/>
  <c r="M36" i="2"/>
  <c r="L36" i="2"/>
  <c r="K36" i="2"/>
  <c r="J36" i="2"/>
  <c r="Y35" i="2"/>
  <c r="X35" i="2"/>
  <c r="V35" i="2"/>
  <c r="U35" i="2"/>
  <c r="W35" i="2" s="1"/>
  <c r="N35" i="2"/>
  <c r="M35" i="2"/>
  <c r="L35" i="2"/>
  <c r="K35" i="2"/>
  <c r="J35" i="2"/>
  <c r="Y34" i="2"/>
  <c r="V34" i="2"/>
  <c r="U34" i="2"/>
  <c r="W34" i="2" s="1"/>
  <c r="N34" i="2"/>
  <c r="M34" i="2"/>
  <c r="L34" i="2"/>
  <c r="K34" i="2"/>
  <c r="J34" i="2"/>
  <c r="Y33" i="2"/>
  <c r="X33" i="2"/>
  <c r="V33" i="2"/>
  <c r="U33" i="2"/>
  <c r="W33" i="2" s="1"/>
  <c r="N33" i="2"/>
  <c r="M33" i="2"/>
  <c r="L33" i="2"/>
  <c r="K33" i="2"/>
  <c r="J33" i="2"/>
  <c r="Y32" i="2"/>
  <c r="X32" i="2"/>
  <c r="V32" i="2"/>
  <c r="U32" i="2"/>
  <c r="W32" i="2" s="1"/>
  <c r="N32" i="2"/>
  <c r="M32" i="2"/>
  <c r="L32" i="2"/>
  <c r="K32" i="2"/>
  <c r="J32" i="2"/>
  <c r="Y31" i="2"/>
  <c r="X31" i="2"/>
  <c r="V31" i="2"/>
  <c r="W31" i="2" s="1"/>
  <c r="R31" i="2"/>
  <c r="N31" i="2"/>
  <c r="M31" i="2"/>
  <c r="L31" i="2"/>
  <c r="K31" i="2"/>
  <c r="J31" i="2"/>
  <c r="Y30" i="2"/>
  <c r="X30" i="2"/>
  <c r="V30" i="2"/>
  <c r="V38" i="2" s="1"/>
  <c r="U30" i="2"/>
  <c r="N30" i="2"/>
  <c r="N38" i="2" s="1"/>
  <c r="M30" i="2"/>
  <c r="M38" i="2" s="1"/>
  <c r="L30" i="2"/>
  <c r="L38" i="2" s="1"/>
  <c r="K30" i="2"/>
  <c r="K38" i="2" s="1"/>
  <c r="J30" i="2"/>
  <c r="J38" i="2" s="1"/>
  <c r="T29" i="2"/>
  <c r="S29" i="2"/>
  <c r="Q29" i="2"/>
  <c r="P29" i="2"/>
  <c r="O29" i="2"/>
  <c r="G29" i="2"/>
  <c r="F29" i="2"/>
  <c r="E29" i="2"/>
  <c r="D29" i="2"/>
  <c r="C29" i="2"/>
  <c r="Y28" i="2"/>
  <c r="X28" i="2"/>
  <c r="V28" i="2"/>
  <c r="U28" i="2"/>
  <c r="W28" i="2" s="1"/>
  <c r="N28" i="2"/>
  <c r="M28" i="2"/>
  <c r="L28" i="2"/>
  <c r="K28" i="2"/>
  <c r="J28" i="2"/>
  <c r="Y27" i="2"/>
  <c r="X27" i="2"/>
  <c r="U27" i="2"/>
  <c r="I27" i="2"/>
  <c r="V26" i="2"/>
  <c r="U26" i="2"/>
  <c r="W26" i="2" s="1"/>
  <c r="N26" i="2"/>
  <c r="M26" i="2"/>
  <c r="L26" i="2"/>
  <c r="K26" i="2"/>
  <c r="J26" i="2"/>
  <c r="Y25" i="2"/>
  <c r="X25" i="2"/>
  <c r="V25" i="2"/>
  <c r="W25" i="2" s="1"/>
  <c r="N25" i="2"/>
  <c r="M25" i="2"/>
  <c r="L25" i="2"/>
  <c r="K25" i="2"/>
  <c r="J25" i="2"/>
  <c r="Y24" i="2"/>
  <c r="X24" i="2"/>
  <c r="V24" i="2"/>
  <c r="U24" i="2"/>
  <c r="N24" i="2"/>
  <c r="M24" i="2"/>
  <c r="L24" i="2"/>
  <c r="K24" i="2"/>
  <c r="J24" i="2"/>
  <c r="U23" i="2"/>
  <c r="T23" i="2"/>
  <c r="S23" i="2"/>
  <c r="S44" i="2" s="1"/>
  <c r="Q23" i="2"/>
  <c r="Q44" i="2" s="1"/>
  <c r="P23" i="2"/>
  <c r="P44" i="2" s="1"/>
  <c r="O23" i="2"/>
  <c r="O44" i="2" s="1"/>
  <c r="G23" i="2"/>
  <c r="G44" i="2" s="1"/>
  <c r="F23" i="2"/>
  <c r="F44" i="2" s="1"/>
  <c r="E23" i="2"/>
  <c r="E44" i="2" s="1"/>
  <c r="D23" i="2"/>
  <c r="D44" i="2" s="1"/>
  <c r="C23" i="2"/>
  <c r="C44" i="2" s="1"/>
  <c r="Y22" i="2"/>
  <c r="X22" i="2"/>
  <c r="V22" i="2"/>
  <c r="W22" i="2" s="1"/>
  <c r="N22" i="2"/>
  <c r="M22" i="2"/>
  <c r="L22" i="2"/>
  <c r="K22" i="2"/>
  <c r="J22" i="2"/>
  <c r="Y21" i="2"/>
  <c r="X21" i="2"/>
  <c r="I21" i="2"/>
  <c r="Y20" i="2"/>
  <c r="X20" i="2"/>
  <c r="V20" i="2"/>
  <c r="N20" i="2"/>
  <c r="M20" i="2"/>
  <c r="L20" i="2"/>
  <c r="K20" i="2"/>
  <c r="J20" i="2"/>
  <c r="U19" i="2"/>
  <c r="T19" i="2"/>
  <c r="S19" i="2"/>
  <c r="S48" i="2" s="1"/>
  <c r="Q19" i="2"/>
  <c r="Q48" i="2" s="1"/>
  <c r="Q61" i="2" s="1"/>
  <c r="Q62" i="2" s="1"/>
  <c r="Q64" i="2" s="1"/>
  <c r="P19" i="2"/>
  <c r="P48" i="2" s="1"/>
  <c r="P61" i="2" s="1"/>
  <c r="P62" i="2" s="1"/>
  <c r="P64" i="2" s="1"/>
  <c r="O19" i="2"/>
  <c r="O48" i="2" s="1"/>
  <c r="O61" i="2" s="1"/>
  <c r="I19" i="2"/>
  <c r="G19" i="2"/>
  <c r="G48" i="2" s="1"/>
  <c r="G61" i="2" s="1"/>
  <c r="F19" i="2"/>
  <c r="F48" i="2" s="1"/>
  <c r="F61" i="2" s="1"/>
  <c r="E19" i="2"/>
  <c r="E48" i="2" s="1"/>
  <c r="E61" i="2" s="1"/>
  <c r="D19" i="2"/>
  <c r="D48" i="2" s="1"/>
  <c r="D61" i="2" s="1"/>
  <c r="C19" i="2"/>
  <c r="C48" i="2" s="1"/>
  <c r="C61" i="2" s="1"/>
  <c r="U18" i="2"/>
  <c r="T18" i="2"/>
  <c r="S18" i="2"/>
  <c r="Q18" i="2"/>
  <c r="P18" i="2"/>
  <c r="O18" i="2"/>
  <c r="I18" i="2"/>
  <c r="G18" i="2"/>
  <c r="F18" i="2"/>
  <c r="E18" i="2"/>
  <c r="D18" i="2"/>
  <c r="C18" i="2"/>
  <c r="Y17" i="2"/>
  <c r="X17" i="2"/>
  <c r="V17" i="2"/>
  <c r="N17" i="2"/>
  <c r="N18" i="2" s="1"/>
  <c r="M17" i="2"/>
  <c r="M18" i="2" s="1"/>
  <c r="L17" i="2"/>
  <c r="L18" i="2" s="1"/>
  <c r="K17" i="2"/>
  <c r="K18" i="2" s="1"/>
  <c r="J17" i="2"/>
  <c r="J18" i="2" s="1"/>
  <c r="U16" i="2"/>
  <c r="T16" i="2"/>
  <c r="S16" i="2"/>
  <c r="Q16" i="2"/>
  <c r="P16" i="2"/>
  <c r="O16" i="2"/>
  <c r="I16" i="2"/>
  <c r="G16" i="2"/>
  <c r="F16" i="2"/>
  <c r="E16" i="2"/>
  <c r="D16" i="2"/>
  <c r="C16" i="2"/>
  <c r="V15" i="2"/>
  <c r="W15" i="2" s="1"/>
  <c r="N15" i="2"/>
  <c r="Y14" i="2"/>
  <c r="X14" i="2"/>
  <c r="V14" i="2"/>
  <c r="W14" i="2" s="1"/>
  <c r="N14" i="2"/>
  <c r="M14" i="2"/>
  <c r="L14" i="2"/>
  <c r="K14" i="2"/>
  <c r="J14" i="2"/>
  <c r="Y13" i="2"/>
  <c r="X13" i="2"/>
  <c r="V13" i="2"/>
  <c r="N13" i="2"/>
  <c r="N16" i="2" s="1"/>
  <c r="M13" i="2"/>
  <c r="M16" i="2" s="1"/>
  <c r="L13" i="2"/>
  <c r="L16" i="2" s="1"/>
  <c r="K13" i="2"/>
  <c r="K16" i="2" s="1"/>
  <c r="J13" i="2"/>
  <c r="J16" i="2" s="1"/>
  <c r="U12" i="2"/>
  <c r="T12" i="2"/>
  <c r="S12" i="2"/>
  <c r="Q12" i="2"/>
  <c r="P12" i="2"/>
  <c r="O12" i="2"/>
  <c r="I12" i="2"/>
  <c r="G12" i="2"/>
  <c r="F12" i="2"/>
  <c r="E12" i="2"/>
  <c r="D12" i="2"/>
  <c r="C12" i="2"/>
  <c r="Y11" i="2"/>
  <c r="Y12" i="2" s="1"/>
  <c r="X11" i="2"/>
  <c r="V11" i="2"/>
  <c r="R11" i="2"/>
  <c r="N11" i="2"/>
  <c r="M11" i="2"/>
  <c r="L11" i="2"/>
  <c r="K11" i="2"/>
  <c r="J11" i="2"/>
  <c r="H60" i="1"/>
  <c r="H62" i="1"/>
  <c r="H61" i="1"/>
  <c r="I17" i="5" l="1"/>
  <c r="J16" i="5"/>
  <c r="F24" i="5"/>
  <c r="F21" i="5"/>
  <c r="H24" i="5"/>
  <c r="H21" i="5"/>
  <c r="I18" i="5"/>
  <c r="J23" i="5"/>
  <c r="L22" i="5"/>
  <c r="L23" i="5" s="1"/>
  <c r="I30" i="5"/>
  <c r="J29" i="5"/>
  <c r="F37" i="5"/>
  <c r="F34" i="5"/>
  <c r="H37" i="5"/>
  <c r="H34" i="5"/>
  <c r="I31" i="5"/>
  <c r="J36" i="5"/>
  <c r="L35" i="5"/>
  <c r="L36" i="5" s="1"/>
  <c r="K66" i="5"/>
  <c r="L62" i="5"/>
  <c r="E69" i="5"/>
  <c r="E70" i="5" s="1"/>
  <c r="E72" i="5" s="1"/>
  <c r="G71" i="5" s="1"/>
  <c r="G69" i="5"/>
  <c r="G70" i="5" s="1"/>
  <c r="G72" i="5" s="1"/>
  <c r="I71" i="5" s="1"/>
  <c r="L71" i="5" s="1"/>
  <c r="I69" i="5"/>
  <c r="I70" i="5" s="1"/>
  <c r="I72" i="5" s="1"/>
  <c r="L68" i="5"/>
  <c r="L69" i="5"/>
  <c r="K82" i="5"/>
  <c r="L82" i="5" s="1"/>
  <c r="L78" i="5"/>
  <c r="P43" i="4"/>
  <c r="P47" i="4" s="1"/>
  <c r="P60" i="4" s="1"/>
  <c r="P67" i="4" s="1"/>
  <c r="O18" i="4"/>
  <c r="O47" i="4" s="1"/>
  <c r="O60" i="4" s="1"/>
  <c r="O67" i="4" s="1"/>
  <c r="S11" i="4"/>
  <c r="V10" i="4"/>
  <c r="W18" i="4"/>
  <c r="W47" i="4" s="1"/>
  <c r="W60" i="4" s="1"/>
  <c r="W67" i="4" s="1"/>
  <c r="W11" i="4"/>
  <c r="S15" i="4"/>
  <c r="V15" i="4" s="1"/>
  <c r="V12" i="4"/>
  <c r="S17" i="4"/>
  <c r="V17" i="4" s="1"/>
  <c r="V16" i="4"/>
  <c r="L43" i="4"/>
  <c r="Y22" i="4"/>
  <c r="S67" i="4"/>
  <c r="V60" i="4"/>
  <c r="V67" i="4" s="1"/>
  <c r="I17" i="3"/>
  <c r="J16" i="3"/>
  <c r="F24" i="3"/>
  <c r="F21" i="3"/>
  <c r="H24" i="3"/>
  <c r="H21" i="3"/>
  <c r="I18" i="3"/>
  <c r="J23" i="3"/>
  <c r="L22" i="3"/>
  <c r="L23" i="3" s="1"/>
  <c r="I30" i="3"/>
  <c r="J29" i="3"/>
  <c r="F37" i="3"/>
  <c r="F34" i="3"/>
  <c r="H37" i="3"/>
  <c r="H34" i="3"/>
  <c r="I31" i="3"/>
  <c r="J36" i="3"/>
  <c r="L35" i="3"/>
  <c r="L36" i="3" s="1"/>
  <c r="K66" i="3"/>
  <c r="L62" i="3"/>
  <c r="E69" i="3"/>
  <c r="E72" i="3" s="1"/>
  <c r="G71" i="3" s="1"/>
  <c r="G69" i="3"/>
  <c r="G70" i="3" s="1"/>
  <c r="G72" i="3" s="1"/>
  <c r="I71" i="3" s="1"/>
  <c r="L71" i="3" s="1"/>
  <c r="I69" i="3"/>
  <c r="I72" i="3" s="1"/>
  <c r="L68" i="3"/>
  <c r="L69" i="3"/>
  <c r="L78" i="3"/>
  <c r="J19" i="2"/>
  <c r="J12" i="2"/>
  <c r="K19" i="2"/>
  <c r="K12" i="2"/>
  <c r="L19" i="2"/>
  <c r="L12" i="2"/>
  <c r="M19" i="2"/>
  <c r="M12" i="2"/>
  <c r="N19" i="2"/>
  <c r="N12" i="2"/>
  <c r="V19" i="2"/>
  <c r="V12" i="2"/>
  <c r="W11" i="2"/>
  <c r="X12" i="2"/>
  <c r="V16" i="2"/>
  <c r="W13" i="2"/>
  <c r="W16" i="2" s="1"/>
  <c r="Y16" i="2"/>
  <c r="X16" i="2"/>
  <c r="V18" i="2"/>
  <c r="W17" i="2"/>
  <c r="W18" i="2" s="1"/>
  <c r="Y18" i="2"/>
  <c r="X18" i="2"/>
  <c r="S61" i="2"/>
  <c r="Y19" i="2"/>
  <c r="X19" i="2"/>
  <c r="W20" i="2"/>
  <c r="I23" i="2"/>
  <c r="V21" i="2"/>
  <c r="N21" i="2"/>
  <c r="T44" i="2"/>
  <c r="Y23" i="2"/>
  <c r="X23" i="2"/>
  <c r="U29" i="2"/>
  <c r="W24" i="2"/>
  <c r="I29" i="2"/>
  <c r="V27" i="2"/>
  <c r="V29" i="2" s="1"/>
  <c r="N27" i="2"/>
  <c r="W27" i="2"/>
  <c r="Y29" i="2"/>
  <c r="X29" i="2"/>
  <c r="U38" i="2"/>
  <c r="W30" i="2"/>
  <c r="W38" i="2" s="1"/>
  <c r="Y38" i="2"/>
  <c r="X38" i="2"/>
  <c r="U43" i="2"/>
  <c r="W39" i="2"/>
  <c r="W43" i="2" s="1"/>
  <c r="Y43" i="2"/>
  <c r="X43" i="2"/>
  <c r="U60" i="2"/>
  <c r="W50" i="2"/>
  <c r="W60" i="2" s="1"/>
  <c r="H62" i="2"/>
  <c r="H61" i="2"/>
  <c r="S62" i="2"/>
  <c r="S63" i="2" s="1"/>
  <c r="Y60" i="2"/>
  <c r="X60" i="2"/>
  <c r="K76" i="2"/>
  <c r="L75" i="2"/>
  <c r="J83" i="2"/>
  <c r="J80" i="2"/>
  <c r="K77" i="2"/>
  <c r="L82" i="2"/>
  <c r="M81" i="2"/>
  <c r="M82" i="2" s="1"/>
  <c r="K89" i="2"/>
  <c r="L88" i="2"/>
  <c r="J96" i="2"/>
  <c r="J93" i="2"/>
  <c r="K90" i="2"/>
  <c r="L95" i="2"/>
  <c r="M94" i="2"/>
  <c r="M95" i="2" s="1"/>
  <c r="Y16" i="1"/>
  <c r="Y17" i="1"/>
  <c r="Y18" i="1"/>
  <c r="Y19" i="1"/>
  <c r="Y20" i="1"/>
  <c r="Y21" i="1"/>
  <c r="Y22" i="1"/>
  <c r="Y23" i="1"/>
  <c r="Y24" i="1"/>
  <c r="Y25" i="1"/>
  <c r="Y27" i="1"/>
  <c r="Y28" i="1"/>
  <c r="Y30" i="1"/>
  <c r="Y31" i="1"/>
  <c r="Y32" i="1"/>
  <c r="Y33" i="1"/>
  <c r="Y34" i="1"/>
  <c r="Y35" i="1"/>
  <c r="Y36" i="1"/>
  <c r="Y37" i="1"/>
  <c r="Y40" i="1"/>
  <c r="Y41" i="1"/>
  <c r="Y42" i="1"/>
  <c r="Y43" i="1"/>
  <c r="Y45" i="1"/>
  <c r="Y46" i="1"/>
  <c r="Y47" i="1"/>
  <c r="Y49" i="1"/>
  <c r="Y50" i="1"/>
  <c r="Y51" i="1"/>
  <c r="Y52" i="1"/>
  <c r="Y53" i="1"/>
  <c r="Y57" i="1"/>
  <c r="Y60" i="1"/>
  <c r="Y14" i="1"/>
  <c r="Y13" i="1"/>
  <c r="Y11" i="1"/>
  <c r="Y12" i="1" s="1"/>
  <c r="X11" i="1"/>
  <c r="U50" i="1"/>
  <c r="C109" i="1"/>
  <c r="B109" i="1"/>
  <c r="K97" i="1"/>
  <c r="L97" i="1" s="1"/>
  <c r="M97" i="1" s="1"/>
  <c r="I96" i="1"/>
  <c r="K95" i="1"/>
  <c r="J95" i="1"/>
  <c r="I95" i="1"/>
  <c r="C95" i="1"/>
  <c r="L94" i="1"/>
  <c r="I93" i="1"/>
  <c r="C93" i="1"/>
  <c r="J92" i="1"/>
  <c r="K92" i="1" s="1"/>
  <c r="L92" i="1" s="1"/>
  <c r="M92" i="1" s="1"/>
  <c r="J91" i="1"/>
  <c r="K91" i="1" s="1"/>
  <c r="L91" i="1" s="1"/>
  <c r="M91" i="1" s="1"/>
  <c r="J90" i="1"/>
  <c r="J89" i="1"/>
  <c r="I89" i="1"/>
  <c r="C89" i="1"/>
  <c r="C96" i="1" s="1"/>
  <c r="K88" i="1"/>
  <c r="L88" i="1" s="1"/>
  <c r="K84" i="1"/>
  <c r="L84" i="1" s="1"/>
  <c r="M84" i="1" s="1"/>
  <c r="I83" i="1"/>
  <c r="K82" i="1"/>
  <c r="J82" i="1"/>
  <c r="I82" i="1"/>
  <c r="C82" i="1"/>
  <c r="L81" i="1"/>
  <c r="M81" i="1" s="1"/>
  <c r="M82" i="1" s="1"/>
  <c r="I80" i="1"/>
  <c r="C80" i="1"/>
  <c r="J79" i="1"/>
  <c r="K79" i="1" s="1"/>
  <c r="L79" i="1" s="1"/>
  <c r="M79" i="1" s="1"/>
  <c r="J78" i="1"/>
  <c r="K78" i="1" s="1"/>
  <c r="L78" i="1" s="1"/>
  <c r="M78" i="1" s="1"/>
  <c r="J77" i="1"/>
  <c r="K77" i="1" s="1"/>
  <c r="K80" i="1" s="1"/>
  <c r="J76" i="1"/>
  <c r="I76" i="1"/>
  <c r="C76" i="1"/>
  <c r="C83" i="1" s="1"/>
  <c r="K75" i="1"/>
  <c r="C64" i="1"/>
  <c r="V60" i="1"/>
  <c r="T60" i="1"/>
  <c r="S60" i="1"/>
  <c r="R60" i="1"/>
  <c r="Q60" i="1"/>
  <c r="P60" i="1"/>
  <c r="O60" i="1"/>
  <c r="I60" i="1"/>
  <c r="G60" i="1"/>
  <c r="F60" i="1"/>
  <c r="E60" i="1"/>
  <c r="D60" i="1"/>
  <c r="C60" i="1"/>
  <c r="U59" i="1"/>
  <c r="W59" i="1" s="1"/>
  <c r="N59" i="1"/>
  <c r="L59" i="1"/>
  <c r="J59" i="1"/>
  <c r="X58" i="1"/>
  <c r="U58" i="1"/>
  <c r="W58" i="1" s="1"/>
  <c r="N58" i="1"/>
  <c r="X57" i="1"/>
  <c r="U57" i="1"/>
  <c r="W57" i="1" s="1"/>
  <c r="N57" i="1"/>
  <c r="U55" i="1"/>
  <c r="W55" i="1" s="1"/>
  <c r="N55" i="1"/>
  <c r="M55" i="1"/>
  <c r="L55" i="1"/>
  <c r="K55" i="1"/>
  <c r="J55" i="1"/>
  <c r="U54" i="1"/>
  <c r="W54" i="1" s="1"/>
  <c r="N54" i="1"/>
  <c r="M54" i="1"/>
  <c r="L54" i="1"/>
  <c r="K54" i="1"/>
  <c r="J54" i="1"/>
  <c r="U53" i="1"/>
  <c r="W53" i="1" s="1"/>
  <c r="N53" i="1"/>
  <c r="J53" i="1"/>
  <c r="X52" i="1"/>
  <c r="W52" i="1"/>
  <c r="N52" i="1"/>
  <c r="J52" i="1"/>
  <c r="X51" i="1"/>
  <c r="W51" i="1"/>
  <c r="N51" i="1"/>
  <c r="J51" i="1"/>
  <c r="X50" i="1"/>
  <c r="W50" i="1"/>
  <c r="N50" i="1"/>
  <c r="J50" i="1"/>
  <c r="X49" i="1"/>
  <c r="W49" i="1"/>
  <c r="N49" i="1"/>
  <c r="N60" i="1" s="1"/>
  <c r="M49" i="1"/>
  <c r="L49" i="1"/>
  <c r="K49" i="1"/>
  <c r="J49" i="1"/>
  <c r="J60" i="1" s="1"/>
  <c r="V46" i="1"/>
  <c r="V47" i="1" s="1"/>
  <c r="U46" i="1"/>
  <c r="U47" i="1" s="1"/>
  <c r="Q46" i="1"/>
  <c r="Q47" i="1" s="1"/>
  <c r="P46" i="1"/>
  <c r="P47" i="1" s="1"/>
  <c r="O46" i="1"/>
  <c r="O47" i="1" s="1"/>
  <c r="I46" i="1"/>
  <c r="I47" i="1" s="1"/>
  <c r="C46" i="1"/>
  <c r="C47" i="1" s="1"/>
  <c r="W45" i="1"/>
  <c r="W46" i="1" s="1"/>
  <c r="W47" i="1" s="1"/>
  <c r="N45" i="1"/>
  <c r="N46" i="1" s="1"/>
  <c r="N47" i="1" s="1"/>
  <c r="M45" i="1"/>
  <c r="M46" i="1" s="1"/>
  <c r="M47" i="1" s="1"/>
  <c r="L45" i="1"/>
  <c r="L46" i="1" s="1"/>
  <c r="L47" i="1" s="1"/>
  <c r="K45" i="1"/>
  <c r="K46" i="1" s="1"/>
  <c r="K47" i="1" s="1"/>
  <c r="J45" i="1"/>
  <c r="J46" i="1" s="1"/>
  <c r="J47" i="1" s="1"/>
  <c r="R44" i="1"/>
  <c r="R48" i="1" s="1"/>
  <c r="R61" i="1" s="1"/>
  <c r="T43" i="1"/>
  <c r="S43" i="1"/>
  <c r="Q43" i="1"/>
  <c r="P43" i="1"/>
  <c r="O43" i="1"/>
  <c r="I43" i="1"/>
  <c r="G43" i="1"/>
  <c r="F43" i="1"/>
  <c r="E43" i="1"/>
  <c r="D43" i="1"/>
  <c r="C43" i="1"/>
  <c r="X42" i="1"/>
  <c r="V42" i="1"/>
  <c r="U42" i="1"/>
  <c r="W42" i="1" s="1"/>
  <c r="N42" i="1"/>
  <c r="L42" i="1"/>
  <c r="J42" i="1"/>
  <c r="X41" i="1"/>
  <c r="V41" i="1"/>
  <c r="U41" i="1"/>
  <c r="N41" i="1"/>
  <c r="J41" i="1"/>
  <c r="X40" i="1"/>
  <c r="V40" i="1"/>
  <c r="U40" i="1"/>
  <c r="W40" i="1" s="1"/>
  <c r="N40" i="1"/>
  <c r="L40" i="1"/>
  <c r="J40" i="1"/>
  <c r="V39" i="1"/>
  <c r="V43" i="1" s="1"/>
  <c r="U39" i="1"/>
  <c r="N39" i="1"/>
  <c r="M39" i="1"/>
  <c r="L39" i="1"/>
  <c r="K39" i="1"/>
  <c r="J39" i="1"/>
  <c r="T38" i="1"/>
  <c r="Y38" i="1" s="1"/>
  <c r="S38" i="1"/>
  <c r="Q38" i="1"/>
  <c r="P38" i="1"/>
  <c r="O38" i="1"/>
  <c r="I38" i="1"/>
  <c r="G38" i="1"/>
  <c r="F38" i="1"/>
  <c r="E38" i="1"/>
  <c r="D38" i="1"/>
  <c r="C38" i="1"/>
  <c r="X37" i="1"/>
  <c r="V37" i="1"/>
  <c r="U37" i="1"/>
  <c r="N37" i="1"/>
  <c r="J37" i="1"/>
  <c r="X36" i="1"/>
  <c r="V36" i="1"/>
  <c r="U36" i="1"/>
  <c r="W36" i="1" s="1"/>
  <c r="N36" i="1"/>
  <c r="L36" i="1"/>
  <c r="J36" i="1"/>
  <c r="X35" i="1"/>
  <c r="V35" i="1"/>
  <c r="U35" i="1"/>
  <c r="N35" i="1"/>
  <c r="J35" i="1"/>
  <c r="V34" i="1"/>
  <c r="U34" i="1"/>
  <c r="W34" i="1" s="1"/>
  <c r="N34" i="1"/>
  <c r="M34" i="1"/>
  <c r="L34" i="1"/>
  <c r="K34" i="1"/>
  <c r="J34" i="1"/>
  <c r="X33" i="1"/>
  <c r="V33" i="1"/>
  <c r="U33" i="1"/>
  <c r="W33" i="1" s="1"/>
  <c r="N33" i="1"/>
  <c r="M33" i="1"/>
  <c r="L33" i="1"/>
  <c r="K33" i="1"/>
  <c r="J33" i="1"/>
  <c r="X32" i="1"/>
  <c r="V32" i="1"/>
  <c r="U32" i="1"/>
  <c r="W32" i="1" s="1"/>
  <c r="N32" i="1"/>
  <c r="M32" i="1"/>
  <c r="L32" i="1"/>
  <c r="K32" i="1"/>
  <c r="J32" i="1"/>
  <c r="X31" i="1"/>
  <c r="V31" i="1"/>
  <c r="W31" i="1" s="1"/>
  <c r="R31" i="1"/>
  <c r="N31" i="1"/>
  <c r="M31" i="1"/>
  <c r="L31" i="1"/>
  <c r="K31" i="1"/>
  <c r="J31" i="1"/>
  <c r="X30" i="1"/>
  <c r="V30" i="1"/>
  <c r="U30" i="1"/>
  <c r="U38" i="1" s="1"/>
  <c r="N30" i="1"/>
  <c r="M30" i="1"/>
  <c r="L30" i="1"/>
  <c r="K30" i="1"/>
  <c r="J30" i="1"/>
  <c r="T29" i="1"/>
  <c r="Y29" i="1" s="1"/>
  <c r="S29" i="1"/>
  <c r="Q29" i="1"/>
  <c r="P29" i="1"/>
  <c r="O29" i="1"/>
  <c r="G29" i="1"/>
  <c r="F29" i="1"/>
  <c r="E29" i="1"/>
  <c r="D29" i="1"/>
  <c r="C29" i="1"/>
  <c r="X28" i="1"/>
  <c r="V28" i="1"/>
  <c r="U28" i="1"/>
  <c r="N28" i="1"/>
  <c r="J28" i="1"/>
  <c r="X27" i="1"/>
  <c r="U27" i="1"/>
  <c r="I27" i="1"/>
  <c r="V26" i="1"/>
  <c r="U26" i="1"/>
  <c r="W26" i="1" s="1"/>
  <c r="N26" i="1"/>
  <c r="M26" i="1"/>
  <c r="L26" i="1"/>
  <c r="K26" i="1"/>
  <c r="J26" i="1"/>
  <c r="X25" i="1"/>
  <c r="V25" i="1"/>
  <c r="W25" i="1" s="1"/>
  <c r="N25" i="1"/>
  <c r="L25" i="1"/>
  <c r="J25" i="1"/>
  <c r="X24" i="1"/>
  <c r="V24" i="1"/>
  <c r="U24" i="1"/>
  <c r="U29" i="1" s="1"/>
  <c r="N24" i="1"/>
  <c r="J24" i="1"/>
  <c r="U23" i="1"/>
  <c r="T23" i="1"/>
  <c r="S23" i="1"/>
  <c r="Q23" i="1"/>
  <c r="Q44" i="1" s="1"/>
  <c r="P23" i="1"/>
  <c r="O23" i="1"/>
  <c r="O44" i="1" s="1"/>
  <c r="G23" i="1"/>
  <c r="G44" i="1" s="1"/>
  <c r="F23" i="1"/>
  <c r="F44" i="1" s="1"/>
  <c r="E23" i="1"/>
  <c r="E44" i="1" s="1"/>
  <c r="D23" i="1"/>
  <c r="D44" i="1" s="1"/>
  <c r="C23" i="1"/>
  <c r="C44" i="1" s="1"/>
  <c r="X22" i="1"/>
  <c r="V22" i="1"/>
  <c r="W22" i="1" s="1"/>
  <c r="N22" i="1"/>
  <c r="L22" i="1"/>
  <c r="J22" i="1"/>
  <c r="X21" i="1"/>
  <c r="I21" i="1"/>
  <c r="X20" i="1"/>
  <c r="V20" i="1"/>
  <c r="W20" i="1" s="1"/>
  <c r="N20" i="1"/>
  <c r="M20" i="1"/>
  <c r="L20" i="1"/>
  <c r="K20" i="1"/>
  <c r="J20" i="1"/>
  <c r="U19" i="1"/>
  <c r="T19" i="1"/>
  <c r="S19" i="1"/>
  <c r="Q19" i="1"/>
  <c r="P19" i="1"/>
  <c r="O19" i="1"/>
  <c r="I19" i="1"/>
  <c r="G19" i="1"/>
  <c r="G48" i="1" s="1"/>
  <c r="G61" i="1" s="1"/>
  <c r="F19" i="1"/>
  <c r="E19" i="1"/>
  <c r="E48" i="1" s="1"/>
  <c r="E61" i="1" s="1"/>
  <c r="D19" i="1"/>
  <c r="C19" i="1"/>
  <c r="C48" i="1" s="1"/>
  <c r="C61" i="1" s="1"/>
  <c r="U18" i="1"/>
  <c r="T18" i="1"/>
  <c r="S18" i="1"/>
  <c r="Q18" i="1"/>
  <c r="P18" i="1"/>
  <c r="O18" i="1"/>
  <c r="I18" i="1"/>
  <c r="G18" i="1"/>
  <c r="F18" i="1"/>
  <c r="E18" i="1"/>
  <c r="D18" i="1"/>
  <c r="C18" i="1"/>
  <c r="X17" i="1"/>
  <c r="V17" i="1"/>
  <c r="N17" i="1"/>
  <c r="L17" i="1"/>
  <c r="L18" i="1" s="1"/>
  <c r="J17" i="1"/>
  <c r="J18" i="1" s="1"/>
  <c r="U16" i="1"/>
  <c r="T16" i="1"/>
  <c r="S16" i="1"/>
  <c r="Q16" i="1"/>
  <c r="P16" i="1"/>
  <c r="O16" i="1"/>
  <c r="I16" i="1"/>
  <c r="G16" i="1"/>
  <c r="F16" i="1"/>
  <c r="E16" i="1"/>
  <c r="D16" i="1"/>
  <c r="C16" i="1"/>
  <c r="V15" i="1"/>
  <c r="W15" i="1" s="1"/>
  <c r="N15" i="1"/>
  <c r="X14" i="1"/>
  <c r="V14" i="1"/>
  <c r="W14" i="1" s="1"/>
  <c r="N14" i="1"/>
  <c r="M14" i="1"/>
  <c r="L14" i="1"/>
  <c r="K14" i="1"/>
  <c r="J14" i="1"/>
  <c r="X13" i="1"/>
  <c r="V13" i="1"/>
  <c r="W13" i="1" s="1"/>
  <c r="N13" i="1"/>
  <c r="L13" i="1"/>
  <c r="L16" i="1" s="1"/>
  <c r="J13" i="1"/>
  <c r="J16" i="1" s="1"/>
  <c r="U12" i="1"/>
  <c r="T12" i="1"/>
  <c r="S12" i="1"/>
  <c r="Q12" i="1"/>
  <c r="P12" i="1"/>
  <c r="O12" i="1"/>
  <c r="I12" i="1"/>
  <c r="G12" i="1"/>
  <c r="F12" i="1"/>
  <c r="E12" i="1"/>
  <c r="D12" i="1"/>
  <c r="C12" i="1"/>
  <c r="V11" i="1"/>
  <c r="R11" i="1"/>
  <c r="N11" i="1"/>
  <c r="N12" i="1" s="1"/>
  <c r="M11" i="1"/>
  <c r="L11" i="1"/>
  <c r="L12" i="1" s="1"/>
  <c r="K11" i="1"/>
  <c r="J11" i="1"/>
  <c r="K70" i="5" l="1"/>
  <c r="L66" i="5"/>
  <c r="I34" i="5"/>
  <c r="J31" i="5"/>
  <c r="I37" i="5"/>
  <c r="J37" i="5"/>
  <c r="J30" i="5"/>
  <c r="L29" i="5"/>
  <c r="I21" i="5"/>
  <c r="J18" i="5"/>
  <c r="I24" i="5"/>
  <c r="J24" i="5"/>
  <c r="J17" i="5"/>
  <c r="L16" i="5"/>
  <c r="Y43" i="4"/>
  <c r="L47" i="4"/>
  <c r="S18" i="4"/>
  <c r="V18" i="4" s="1"/>
  <c r="V11" i="4"/>
  <c r="K70" i="3"/>
  <c r="L66" i="3"/>
  <c r="I34" i="3"/>
  <c r="J31" i="3"/>
  <c r="I37" i="3"/>
  <c r="J37" i="3"/>
  <c r="J30" i="3"/>
  <c r="L29" i="3"/>
  <c r="I21" i="3"/>
  <c r="J18" i="3"/>
  <c r="I24" i="3"/>
  <c r="J24" i="3"/>
  <c r="J17" i="3"/>
  <c r="L16" i="3"/>
  <c r="K93" i="2"/>
  <c r="L90" i="2"/>
  <c r="K96" i="2"/>
  <c r="L96" i="2"/>
  <c r="L89" i="2"/>
  <c r="M88" i="2"/>
  <c r="K80" i="2"/>
  <c r="L77" i="2"/>
  <c r="K83" i="2"/>
  <c r="L83" i="2"/>
  <c r="L76" i="2"/>
  <c r="M75" i="2"/>
  <c r="M27" i="2"/>
  <c r="M29" i="2" s="1"/>
  <c r="L27" i="2"/>
  <c r="L29" i="2" s="1"/>
  <c r="K27" i="2"/>
  <c r="K29" i="2" s="1"/>
  <c r="J27" i="2"/>
  <c r="J29" i="2" s="1"/>
  <c r="N29" i="2"/>
  <c r="W29" i="2"/>
  <c r="U44" i="2"/>
  <c r="U48" i="2" s="1"/>
  <c r="U61" i="2" s="1"/>
  <c r="Y44" i="2"/>
  <c r="X44" i="2"/>
  <c r="T48" i="2"/>
  <c r="M21" i="2"/>
  <c r="M23" i="2" s="1"/>
  <c r="M44" i="2" s="1"/>
  <c r="L21" i="2"/>
  <c r="L23" i="2" s="1"/>
  <c r="L44" i="2" s="1"/>
  <c r="K21" i="2"/>
  <c r="K23" i="2" s="1"/>
  <c r="K44" i="2" s="1"/>
  <c r="J21" i="2"/>
  <c r="J23" i="2" s="1"/>
  <c r="J44" i="2" s="1"/>
  <c r="N23" i="2"/>
  <c r="N44" i="2" s="1"/>
  <c r="W21" i="2"/>
  <c r="V23" i="2"/>
  <c r="V44" i="2" s="1"/>
  <c r="I44" i="2"/>
  <c r="I48" i="2" s="1"/>
  <c r="W23" i="2"/>
  <c r="W44" i="2" s="1"/>
  <c r="W19" i="2"/>
  <c r="W48" i="2" s="1"/>
  <c r="W61" i="2" s="1"/>
  <c r="W12" i="2"/>
  <c r="V48" i="2"/>
  <c r="V61" i="2" s="1"/>
  <c r="N48" i="2"/>
  <c r="N61" i="2" s="1"/>
  <c r="M48" i="2"/>
  <c r="M61" i="2" s="1"/>
  <c r="L48" i="2"/>
  <c r="L61" i="2" s="1"/>
  <c r="K48" i="2"/>
  <c r="J48" i="2"/>
  <c r="J61" i="2" s="1"/>
  <c r="J12" i="1"/>
  <c r="J19" i="1"/>
  <c r="V19" i="1"/>
  <c r="V12" i="1"/>
  <c r="W11" i="1"/>
  <c r="W12" i="1" s="1"/>
  <c r="X12" i="1"/>
  <c r="N19" i="1"/>
  <c r="X16" i="1"/>
  <c r="V18" i="1"/>
  <c r="W17" i="1"/>
  <c r="W18" i="1" s="1"/>
  <c r="N21" i="1"/>
  <c r="V21" i="1"/>
  <c r="W21" i="1" s="1"/>
  <c r="W23" i="1" s="1"/>
  <c r="F48" i="1"/>
  <c r="F61" i="1" s="1"/>
  <c r="O48" i="1"/>
  <c r="O61" i="1" s="1"/>
  <c r="I29" i="1"/>
  <c r="V27" i="1"/>
  <c r="V29" i="1" s="1"/>
  <c r="N27" i="1"/>
  <c r="W27" i="1"/>
  <c r="S44" i="1"/>
  <c r="J38" i="1"/>
  <c r="X38" i="1"/>
  <c r="W39" i="1"/>
  <c r="U43" i="1"/>
  <c r="J43" i="1"/>
  <c r="W60" i="1"/>
  <c r="K83" i="1"/>
  <c r="L75" i="1"/>
  <c r="M75" i="1" s="1"/>
  <c r="J96" i="1"/>
  <c r="K90" i="1"/>
  <c r="L90" i="1" s="1"/>
  <c r="L93" i="1" s="1"/>
  <c r="L95" i="1"/>
  <c r="M94" i="1"/>
  <c r="M95" i="1" s="1"/>
  <c r="M12" i="1"/>
  <c r="S48" i="1"/>
  <c r="T44" i="1"/>
  <c r="Y44" i="1" s="1"/>
  <c r="V23" i="1"/>
  <c r="M24" i="1"/>
  <c r="K24" i="1"/>
  <c r="M28" i="1"/>
  <c r="K28" i="1"/>
  <c r="N29" i="1"/>
  <c r="U44" i="1"/>
  <c r="U48" i="1" s="1"/>
  <c r="W30" i="1"/>
  <c r="M35" i="1"/>
  <c r="K35" i="1"/>
  <c r="M37" i="1"/>
  <c r="K37" i="1"/>
  <c r="M41" i="1"/>
  <c r="K41" i="1"/>
  <c r="N43" i="1"/>
  <c r="K12" i="1"/>
  <c r="N16" i="1"/>
  <c r="M13" i="1"/>
  <c r="M16" i="1" s="1"/>
  <c r="K13" i="1"/>
  <c r="K16" i="1" s="1"/>
  <c r="W16" i="1"/>
  <c r="V16" i="1"/>
  <c r="N18" i="1"/>
  <c r="M17" i="1"/>
  <c r="M18" i="1" s="1"/>
  <c r="K17" i="1"/>
  <c r="K18" i="1" s="1"/>
  <c r="X18" i="1"/>
  <c r="D48" i="1"/>
  <c r="D61" i="1" s="1"/>
  <c r="L19" i="1"/>
  <c r="Q48" i="1"/>
  <c r="Q61" i="1" s="1"/>
  <c r="Q62" i="1" s="1"/>
  <c r="Q64" i="1" s="1"/>
  <c r="W19" i="1"/>
  <c r="L21" i="1"/>
  <c r="L23" i="1" s="1"/>
  <c r="J21" i="1"/>
  <c r="J23" i="1" s="1"/>
  <c r="M21" i="1"/>
  <c r="M22" i="1"/>
  <c r="K22" i="1"/>
  <c r="I23" i="1"/>
  <c r="I44" i="1" s="1"/>
  <c r="I48" i="1" s="1"/>
  <c r="P44" i="1"/>
  <c r="P48" i="1" s="1"/>
  <c r="P61" i="1" s="1"/>
  <c r="P62" i="1" s="1"/>
  <c r="P64" i="1" s="1"/>
  <c r="X23" i="1"/>
  <c r="L24" i="1"/>
  <c r="W24" i="1"/>
  <c r="M25" i="1"/>
  <c r="K25" i="1"/>
  <c r="M27" i="1"/>
  <c r="K27" i="1"/>
  <c r="L28" i="1"/>
  <c r="W28" i="1"/>
  <c r="X29" i="1"/>
  <c r="V38" i="1"/>
  <c r="L35" i="1"/>
  <c r="W35" i="1"/>
  <c r="M36" i="1"/>
  <c r="K36" i="1"/>
  <c r="L37" i="1"/>
  <c r="W37" i="1"/>
  <c r="N38" i="1"/>
  <c r="M40" i="1"/>
  <c r="K40" i="1"/>
  <c r="L41" i="1"/>
  <c r="L43" i="1" s="1"/>
  <c r="W41" i="1"/>
  <c r="W43" i="1" s="1"/>
  <c r="M42" i="1"/>
  <c r="K42" i="1"/>
  <c r="X43" i="1"/>
  <c r="M50" i="1"/>
  <c r="K50" i="1"/>
  <c r="M51" i="1"/>
  <c r="K51" i="1"/>
  <c r="M52" i="1"/>
  <c r="K52" i="1"/>
  <c r="M53" i="1"/>
  <c r="K53" i="1"/>
  <c r="U60" i="1"/>
  <c r="J80" i="1"/>
  <c r="J83" i="1"/>
  <c r="L96" i="1"/>
  <c r="L89" i="1"/>
  <c r="K93" i="1"/>
  <c r="K96" i="1"/>
  <c r="T48" i="1"/>
  <c r="Y48" i="1" s="1"/>
  <c r="X19" i="1"/>
  <c r="L50" i="1"/>
  <c r="L51" i="1"/>
  <c r="L52" i="1"/>
  <c r="L53" i="1"/>
  <c r="M59" i="1"/>
  <c r="K59" i="1"/>
  <c r="X60" i="1"/>
  <c r="M76" i="1"/>
  <c r="L76" i="1"/>
  <c r="L77" i="1"/>
  <c r="L82" i="1"/>
  <c r="L83" i="1"/>
  <c r="M88" i="1"/>
  <c r="K89" i="1"/>
  <c r="M90" i="1"/>
  <c r="M93" i="1" s="1"/>
  <c r="K76" i="1"/>
  <c r="J93" i="1"/>
  <c r="L17" i="5" l="1"/>
  <c r="J21" i="5"/>
  <c r="L18" i="5"/>
  <c r="L30" i="5"/>
  <c r="J34" i="5"/>
  <c r="L31" i="5"/>
  <c r="K72" i="5"/>
  <c r="L72" i="5" s="1"/>
  <c r="L70" i="5"/>
  <c r="L60" i="4"/>
  <c r="Y47" i="4"/>
  <c r="L17" i="3"/>
  <c r="J21" i="3"/>
  <c r="L18" i="3"/>
  <c r="L30" i="3"/>
  <c r="J34" i="3"/>
  <c r="L31" i="3"/>
  <c r="K72" i="3"/>
  <c r="L72" i="3" s="1"/>
  <c r="K65" i="2"/>
  <c r="K61" i="2"/>
  <c r="N69" i="2"/>
  <c r="N68" i="2"/>
  <c r="N67" i="2"/>
  <c r="N66" i="2"/>
  <c r="N70" i="2" s="1"/>
  <c r="N71" i="2" s="1"/>
  <c r="I61" i="2"/>
  <c r="T61" i="2"/>
  <c r="Y48" i="2"/>
  <c r="X48" i="2"/>
  <c r="M76" i="2"/>
  <c r="L80" i="2"/>
  <c r="M77" i="2"/>
  <c r="M89" i="2"/>
  <c r="L93" i="2"/>
  <c r="M90" i="2"/>
  <c r="L60" i="1"/>
  <c r="M60" i="1"/>
  <c r="K43" i="1"/>
  <c r="M43" i="1"/>
  <c r="M23" i="1"/>
  <c r="K38" i="1"/>
  <c r="M38" i="1"/>
  <c r="L27" i="1"/>
  <c r="J27" i="1"/>
  <c r="J29" i="1" s="1"/>
  <c r="J44" i="1" s="1"/>
  <c r="J48" i="1" s="1"/>
  <c r="J61" i="1" s="1"/>
  <c r="K21" i="1"/>
  <c r="K23" i="1" s="1"/>
  <c r="N23" i="1"/>
  <c r="N44" i="1" s="1"/>
  <c r="N48" i="1" s="1"/>
  <c r="N61" i="1" s="1"/>
  <c r="I61" i="1"/>
  <c r="N69" i="1"/>
  <c r="N67" i="1"/>
  <c r="N68" i="1"/>
  <c r="N66" i="1"/>
  <c r="N70" i="1" s="1"/>
  <c r="N71" i="1" s="1"/>
  <c r="M96" i="1"/>
  <c r="M89" i="1"/>
  <c r="K60" i="1"/>
  <c r="W29" i="1"/>
  <c r="W38" i="1"/>
  <c r="M29" i="1"/>
  <c r="M44" i="1" s="1"/>
  <c r="U61" i="1"/>
  <c r="K19" i="1"/>
  <c r="M77" i="1"/>
  <c r="L80" i="1"/>
  <c r="T61" i="1"/>
  <c r="Y61" i="1" s="1"/>
  <c r="X48" i="1"/>
  <c r="L38" i="1"/>
  <c r="L29" i="1"/>
  <c r="L44" i="1" s="1"/>
  <c r="L48" i="1" s="1"/>
  <c r="L61" i="1" s="1"/>
  <c r="K29" i="1"/>
  <c r="K44" i="1" s="1"/>
  <c r="V44" i="1"/>
  <c r="V48" i="1" s="1"/>
  <c r="V61" i="1" s="1"/>
  <c r="X44" i="1"/>
  <c r="S61" i="1"/>
  <c r="S62" i="1" s="1"/>
  <c r="S63" i="1" s="1"/>
  <c r="M19" i="1"/>
  <c r="L34" i="5" l="1"/>
  <c r="L37" i="5"/>
  <c r="L21" i="5"/>
  <c r="L24" i="5"/>
  <c r="L26" i="5" s="1"/>
  <c r="L67" i="4"/>
  <c r="Y67" i="4" s="1"/>
  <c r="Y60" i="4"/>
  <c r="L34" i="3"/>
  <c r="L37" i="3"/>
  <c r="L21" i="3"/>
  <c r="L24" i="3"/>
  <c r="L26" i="3" s="1"/>
  <c r="M93" i="2"/>
  <c r="M96" i="2"/>
  <c r="M80" i="2"/>
  <c r="M83" i="2"/>
  <c r="M85" i="2" s="1"/>
  <c r="Y61" i="2"/>
  <c r="X61" i="2"/>
  <c r="I69" i="2"/>
  <c r="I68" i="2"/>
  <c r="I67" i="2"/>
  <c r="I66" i="2"/>
  <c r="I70" i="2" s="1"/>
  <c r="I71" i="2" s="1"/>
  <c r="N62" i="2"/>
  <c r="N64" i="2" s="1"/>
  <c r="I62" i="2"/>
  <c r="I64" i="2" s="1"/>
  <c r="W44" i="1"/>
  <c r="W48" i="1" s="1"/>
  <c r="W61" i="1" s="1"/>
  <c r="X61" i="1"/>
  <c r="M80" i="1"/>
  <c r="M83" i="1"/>
  <c r="M85" i="1" s="1"/>
  <c r="K48" i="1"/>
  <c r="I69" i="1"/>
  <c r="I68" i="1"/>
  <c r="I67" i="1"/>
  <c r="I66" i="1"/>
  <c r="N62" i="1"/>
  <c r="N64" i="1" s="1"/>
  <c r="M48" i="1"/>
  <c r="M61" i="1" s="1"/>
  <c r="I62" i="1"/>
  <c r="I64" i="1" s="1"/>
  <c r="I70" i="1" l="1"/>
  <c r="I71" i="1" s="1"/>
  <c r="K65" i="1"/>
  <c r="K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Maja</author>
  </authors>
  <commentList>
    <comment ref="I80" authorId="0" shapeId="0" xr:uid="{ABB21C20-592C-44A3-AD7F-1AF33C9AF509}">
      <text>
        <r>
          <rPr>
            <b/>
            <sz val="9"/>
            <color indexed="81"/>
            <rFont val="Segoe UI"/>
            <family val="2"/>
            <charset val="238"/>
          </rPr>
          <t>Maja:</t>
        </r>
        <r>
          <rPr>
            <sz val="9"/>
            <color indexed="81"/>
            <rFont val="Segoe UI"/>
            <family val="2"/>
            <charset val="238"/>
          </rPr>
          <t xml:space="preserve">
530.595,23-6.015,72+11.448,85+23.534,31
</t>
        </r>
      </text>
    </comment>
    <comment ref="K80" authorId="0" shapeId="0" xr:uid="{C52EC45B-4DF9-430A-9C72-6702A3962B7D}">
      <text>
        <r>
          <rPr>
            <b/>
            <sz val="8"/>
            <color indexed="81"/>
            <rFont val="Segoe UI"/>
            <family val="2"/>
            <charset val="238"/>
          </rPr>
          <t>Maja:</t>
        </r>
        <r>
          <rPr>
            <sz val="8"/>
            <color indexed="81"/>
            <rFont val="Segoe UI"/>
            <family val="2"/>
            <charset val="238"/>
          </rPr>
          <t xml:space="preserve">
530.595,23-6.015,72+11.448,85+23.534,31
</t>
        </r>
      </text>
    </comment>
    <comment ref="I81" authorId="0" shapeId="0" xr:uid="{44F484C4-FEB6-4088-A9E9-26C5B7554F37}">
      <text>
        <r>
          <rPr>
            <b/>
            <sz val="9"/>
            <color indexed="81"/>
            <rFont val="Segoe UI"/>
            <family val="2"/>
            <charset val="238"/>
          </rPr>
          <t>Maja:</t>
        </r>
        <r>
          <rPr>
            <sz val="9"/>
            <color indexed="81"/>
            <rFont val="Segoe UI"/>
            <family val="2"/>
            <charset val="238"/>
          </rPr>
          <t xml:space="preserve">
34.707,82 kn materijalnih rashoda  - 11.448,85 kn troškovi prijevoza + 6.015,72 kn bolovanje + 209.967,62 kn povrat JLS
</t>
        </r>
      </text>
    </comment>
    <comment ref="K81" authorId="0" shapeId="0" xr:uid="{A03E4B42-1D7A-4444-A2C6-7ED118DE41B1}">
      <text>
        <r>
          <rPr>
            <b/>
            <sz val="9"/>
            <color indexed="81"/>
            <rFont val="Segoe UI"/>
            <family val="2"/>
            <charset val="238"/>
          </rPr>
          <t>Maja: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8"/>
            <color indexed="81"/>
            <rFont val="Segoe UI"/>
            <family val="2"/>
            <charset val="238"/>
          </rPr>
          <t>51.283,24 kn materijalnih rashoda  - 15.463,13 kn troškovi prijevoza + 1.862,60 kn bolovanje + 526,58 kn obveza za nefinancijsku imovinu + 
109.817,16
 kn povrat JLS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Maja</author>
  </authors>
  <commentList>
    <comment ref="K80" authorId="0" shapeId="0" xr:uid="{6E7DDA0A-9438-418D-9E81-47537AE3788F}">
      <text>
        <r>
          <rPr>
            <b/>
            <sz val="8"/>
            <color indexed="81"/>
            <rFont val="Segoe UI"/>
            <family val="2"/>
            <charset val="238"/>
          </rPr>
          <t>Maja:</t>
        </r>
        <r>
          <rPr>
            <sz val="8"/>
            <color indexed="81"/>
            <rFont val="Segoe UI"/>
            <family val="2"/>
            <charset val="238"/>
          </rPr>
          <t xml:space="preserve">
530.595,23-6.015,72+11.448,85+23.534,31
</t>
        </r>
      </text>
    </comment>
    <comment ref="K81" authorId="0" shapeId="0" xr:uid="{824F7E03-2EE2-48ED-A39D-C00B6AD5F378}">
      <text>
        <r>
          <rPr>
            <b/>
            <sz val="9"/>
            <color indexed="81"/>
            <rFont val="Segoe UI"/>
            <family val="2"/>
            <charset val="238"/>
          </rPr>
          <t>Maja: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8"/>
            <color indexed="81"/>
            <rFont val="Segoe UI"/>
            <family val="2"/>
            <charset val="238"/>
          </rPr>
          <t>34.707,82 kn materijalnih rashoda  - 11.448,85 kn troškovi prijevoza + 6.015,72 kn bolovanje + 209.967,62 kn povrat JLS</t>
        </r>
      </text>
    </comment>
  </commentList>
</comments>
</file>

<file path=xl/sharedStrings.xml><?xml version="1.0" encoding="utf-8"?>
<sst xmlns="http://schemas.openxmlformats.org/spreadsheetml/2006/main" count="618" uniqueCount="195">
  <si>
    <t>RAZDJEL 003: UO ZA KOMUNALNI SUSTAV I ZAŠTITU OKOLIŠA</t>
  </si>
  <si>
    <t>GLAVA 302: 30970-JAVNA VATROGASNA POSTROJBA OPATIJA</t>
  </si>
  <si>
    <t>JAVNA VATROGASNA POSTROJBA OPATIJA</t>
  </si>
  <si>
    <t>Program 3090: PROTUPOŽARNA ZAŠTITA I SPAŠAVANJE</t>
  </si>
  <si>
    <t>Aktivnost 309001: REDOVNA DJELATNOST MINIMALNI STANDARD</t>
  </si>
  <si>
    <t>Aktivnost 309002: REDOVNA DJELATNOST IZNAD MINIMALNOG STANDARDA</t>
  </si>
  <si>
    <t>Naziv računa</t>
  </si>
  <si>
    <t>Izvršenje
2016.</t>
  </si>
  <si>
    <t>Izvršenje
2017.</t>
  </si>
  <si>
    <t>Izvršenje
2018.</t>
  </si>
  <si>
    <t>Izvršenje 2019.</t>
  </si>
  <si>
    <t>Izvršenje
2020.</t>
  </si>
  <si>
    <t>Grad Opatija
57%</t>
  </si>
  <si>
    <t>Općina
Matulji
23%</t>
  </si>
  <si>
    <t>Općina
Lovran
14%</t>
  </si>
  <si>
    <t xml:space="preserve">Općina 
M.Draga
6% </t>
  </si>
  <si>
    <t>Izvan minimalnih
standarda</t>
  </si>
  <si>
    <t>Vlastiti
prihodi</t>
  </si>
  <si>
    <t>Plan
2017.</t>
  </si>
  <si>
    <t>Plan
2018.</t>
  </si>
  <si>
    <t>Preneseno
minimalni
standard</t>
  </si>
  <si>
    <t>Izvan
minimalnog
standarda</t>
  </si>
  <si>
    <t>Indeks
Izvršenje/
Plan</t>
  </si>
  <si>
    <t>15</t>
  </si>
  <si>
    <t>16</t>
  </si>
  <si>
    <t>Plaće za zaposlene</t>
  </si>
  <si>
    <t>Plaće (bruto)</t>
  </si>
  <si>
    <t>Doprinos za MIO</t>
  </si>
  <si>
    <t>Doprinos za zdravstvo</t>
  </si>
  <si>
    <t>Doprinos za zapošljavanje</t>
  </si>
  <si>
    <t>Doprinosi na plaće</t>
  </si>
  <si>
    <t>Naknade troškova za zap.</t>
  </si>
  <si>
    <t>Ostali rashodi za zaposlene</t>
  </si>
  <si>
    <t>RASHODI ZA ZAPOSLENE</t>
  </si>
  <si>
    <t>Izdaci za sl. putovanja</t>
  </si>
  <si>
    <t>Naknada za prijevoz na posao</t>
  </si>
  <si>
    <t xml:space="preserve">Stručno usavršavanje zaposlenih </t>
  </si>
  <si>
    <t>Naknade troškova zaposlenima</t>
  </si>
  <si>
    <t>Uredski i ostali potr. mater.</t>
  </si>
  <si>
    <t>Energija</t>
  </si>
  <si>
    <t>Materijal i dijelovi za tek. Održav.</t>
  </si>
  <si>
    <t>Sitni inventar in auto gume</t>
  </si>
  <si>
    <t>Zaštitna odjeća i obuća</t>
  </si>
  <si>
    <t>Rashodi za materijal i energiju</t>
  </si>
  <si>
    <t>Usluge telefona pošte i prijevoza</t>
  </si>
  <si>
    <t>Usluge tekućeg i investric.odr.</t>
  </si>
  <si>
    <t>Usluge promidžbe i informiranja</t>
  </si>
  <si>
    <t>Komunalane usluge</t>
  </si>
  <si>
    <t>Zakupnine i najamnine</t>
  </si>
  <si>
    <t>Zdravstvene i veterinarske usluge</t>
  </si>
  <si>
    <t>Intelektualne i osobne usluge</t>
  </si>
  <si>
    <t>Ostale usluge</t>
  </si>
  <si>
    <t>Rashodi za usluge</t>
  </si>
  <si>
    <t>Naknade za rad predst.i izvrš.tijela</t>
  </si>
  <si>
    <t>Premije osiguranja</t>
  </si>
  <si>
    <t>Reprezentacija</t>
  </si>
  <si>
    <t>Ostali nespom. rashodi poslov.</t>
  </si>
  <si>
    <t>Ostali nespomenuti rashodi poslovanja</t>
  </si>
  <si>
    <t>MATERIJALNI RASHODI</t>
  </si>
  <si>
    <t>Bankarske usl. i usl. platnog pr.</t>
  </si>
  <si>
    <t>Ostali financijski rashodi</t>
  </si>
  <si>
    <t>FINANCIJSKI RASHODI</t>
  </si>
  <si>
    <t>RASHODI POSLOVANJA</t>
  </si>
  <si>
    <t>Uredska oprema i namještaj</t>
  </si>
  <si>
    <t>Komunikacijska oprema</t>
  </si>
  <si>
    <t>Oprema za održav.i zaštitu</t>
  </si>
  <si>
    <t>Ulaganje u računalne programe</t>
  </si>
  <si>
    <t>Izrada projektne dokumentacije za vatrogasni dom</t>
  </si>
  <si>
    <t>Kapitalne donacije neprofit</t>
  </si>
  <si>
    <t>Prijevozna sredstva</t>
  </si>
  <si>
    <t xml:space="preserve">Izdaci za financijsku imovinu </t>
  </si>
  <si>
    <t>Kamate na primljene zajmove i ost</t>
  </si>
  <si>
    <t>Ostali nesp. rashodi poslovanja</t>
  </si>
  <si>
    <t>3,4, 5</t>
  </si>
  <si>
    <t>RASHODI ZA NABAVU NEFIN. i FINANC. IMOVINE</t>
  </si>
  <si>
    <t>UKUPNO PLAN J V P</t>
  </si>
  <si>
    <t>Izvan minimalnog standarda</t>
  </si>
  <si>
    <t>Proračunski okvir</t>
  </si>
  <si>
    <t>Razlika</t>
  </si>
  <si>
    <t xml:space="preserve">RASPORED NA J L S </t>
  </si>
  <si>
    <t>Grad Opatija</t>
  </si>
  <si>
    <t>Općina Matulji</t>
  </si>
  <si>
    <t>Općina Lovran</t>
  </si>
  <si>
    <t>Općina M.Draga</t>
  </si>
  <si>
    <t>Ukupno</t>
  </si>
  <si>
    <t>Ostale JLS</t>
  </si>
  <si>
    <t>Do kraja godine - obaveze</t>
  </si>
  <si>
    <t>Izvršenje
2015.</t>
  </si>
  <si>
    <t>IZVRŠENJE
12.09.16.</t>
  </si>
  <si>
    <t>Mjesečno</t>
  </si>
  <si>
    <t>Ukupno
izvršenje</t>
  </si>
  <si>
    <t>Jubilarna – 30 godina                     29000,00</t>
  </si>
  <si>
    <t>6</t>
  </si>
  <si>
    <t>9</t>
  </si>
  <si>
    <t>10</t>
  </si>
  <si>
    <t>11</t>
  </si>
  <si>
    <t>12</t>
  </si>
  <si>
    <t>Otpremnina                                      57000,00</t>
  </si>
  <si>
    <t>Božićnica                                             37000,00              (-Čulić 1000,00?)</t>
  </si>
  <si>
    <t>Pomoć Alfonzi                                  21600,00              (5400 x 4)</t>
  </si>
  <si>
    <t>Dar deci                                               11400,00              (-Čulić 2x600)</t>
  </si>
  <si>
    <t>Prijevoz                                               36000,00</t>
  </si>
  <si>
    <t>Croatia – premija                             11500,00</t>
  </si>
  <si>
    <t>Ukupno                                            203500,00             </t>
  </si>
  <si>
    <t>Izvršenje   2021.</t>
  </si>
  <si>
    <t>Minimalni
standardi
Uredba NN 147/21</t>
  </si>
  <si>
    <t>PLAN
2022. II IZMJENE</t>
  </si>
  <si>
    <t>Dodatno ulaganje na prijevoz.sred.</t>
  </si>
  <si>
    <t>Izvršenje
2022.</t>
  </si>
  <si>
    <t>Vlastiti
prihodi, donacije,</t>
  </si>
  <si>
    <t>Indeks izvršenje
2022/
2021</t>
  </si>
  <si>
    <t>IZVRŠENJE 2022. PO IZVORIMA FINANCIRANJA</t>
  </si>
  <si>
    <t>PLAN 2022. PO IZVORIMA FINANCIRANJA</t>
  </si>
  <si>
    <t>FINANCIJSKI PLAN ZA 2022.G. - IZVRŠENJE</t>
  </si>
  <si>
    <t>PRIHODI I RASHODI ZA 2021. GODINU</t>
  </si>
  <si>
    <t>RED.
BR.</t>
  </si>
  <si>
    <t>OPIS</t>
  </si>
  <si>
    <t>2018.</t>
  </si>
  <si>
    <t>2019.</t>
  </si>
  <si>
    <t>2020.</t>
  </si>
  <si>
    <t>Indeks
2021/2020</t>
  </si>
  <si>
    <t>Podaci iz PRORAČUNA-prihod</t>
  </si>
  <si>
    <t xml:space="preserve">VZ PGŽ </t>
  </si>
  <si>
    <t>Iz Proračuna</t>
  </si>
  <si>
    <t xml:space="preserve">Grad </t>
  </si>
  <si>
    <t>JLS</t>
  </si>
  <si>
    <t>Prihodi od usluga</t>
  </si>
  <si>
    <t>redovna</t>
  </si>
  <si>
    <t>Ostali prihodi HVZ</t>
  </si>
  <si>
    <t>kapitalna</t>
  </si>
  <si>
    <t>Donacije</t>
  </si>
  <si>
    <t>financijska</t>
  </si>
  <si>
    <t>Ukupno vlastiti prihodi</t>
  </si>
  <si>
    <t xml:space="preserve">Sredstva Proračuna </t>
  </si>
  <si>
    <t>vlastita</t>
  </si>
  <si>
    <t>Primici od financijske imovine i zad.</t>
  </si>
  <si>
    <t>Grad</t>
  </si>
  <si>
    <t>Prenesena sredstva prethodne godine</t>
  </si>
  <si>
    <t>ukupno</t>
  </si>
  <si>
    <t>I.</t>
  </si>
  <si>
    <t>Ukupno prihodi (6+7)</t>
  </si>
  <si>
    <t xml:space="preserve">Rashodi poslovanja </t>
  </si>
  <si>
    <t>Rashodi za nabavu nefinancijske i financijske imovine</t>
  </si>
  <si>
    <t>II.</t>
  </si>
  <si>
    <t>Ukupno rashodi</t>
  </si>
  <si>
    <t>III.</t>
  </si>
  <si>
    <t>Ostatak/manjak proračunske godine</t>
  </si>
  <si>
    <t xml:space="preserve">IV. </t>
  </si>
  <si>
    <t xml:space="preserve">Višak/manjak prihoda i primitaka preneseni </t>
  </si>
  <si>
    <t>Manjak prihoda i primitaka</t>
  </si>
  <si>
    <t>Žiro račun</t>
  </si>
  <si>
    <t>Blagajna</t>
  </si>
  <si>
    <t xml:space="preserve">Ostala potraživanja </t>
  </si>
  <si>
    <t xml:space="preserve">Potraživanja iz proračuna za uplaćene prih.pr.kor. </t>
  </si>
  <si>
    <t>Ukupno financijska sredstva</t>
  </si>
  <si>
    <t>Obaveze - ukupno</t>
  </si>
  <si>
    <t>Obaveze iz prihoda budućih razdoblja</t>
  </si>
  <si>
    <t>Tekuće obaveze</t>
  </si>
  <si>
    <t>Ostatak proračunske godine</t>
  </si>
  <si>
    <t>Aktivnost 309001: REDOVNA DJELATNOST</t>
  </si>
  <si>
    <t>Kretanje rashoda 2010-2021</t>
  </si>
  <si>
    <t>Izvršenje 2010.</t>
  </si>
  <si>
    <t>Izvršenje 2011.</t>
  </si>
  <si>
    <t>Izvršenje 2012.</t>
  </si>
  <si>
    <t>Izvršenje 2013.</t>
  </si>
  <si>
    <t>Izvršenje 2014.</t>
  </si>
  <si>
    <t>Izvršenje 2017.</t>
  </si>
  <si>
    <t>Izvršenje 2018.</t>
  </si>
  <si>
    <t>Izvršenje 2020.</t>
  </si>
  <si>
    <t>Izvršenje 2021.</t>
  </si>
  <si>
    <t>OSTALE
JLS</t>
  </si>
  <si>
    <t>Ostali izvori</t>
  </si>
  <si>
    <t>razlika
2021/
2020</t>
  </si>
  <si>
    <t xml:space="preserve">Plan 2021.
</t>
  </si>
  <si>
    <t xml:space="preserve">Projekcija 2022.
</t>
  </si>
  <si>
    <t>Materijal i dijelovi za tek. I inv.održ</t>
  </si>
  <si>
    <t>Kapitalne donacije neprofitnim org</t>
  </si>
  <si>
    <t>Izdaci na financijsku imovinu</t>
  </si>
  <si>
    <t>Kamate na primljene zajmove</t>
  </si>
  <si>
    <t>3,4,5</t>
  </si>
  <si>
    <t>RASHODI ZA NABAVU NEFINANCIJSKE IMOVINE</t>
  </si>
  <si>
    <t>Poslovni objekti izgradnja vatrog. Centra, namjenska sredstva EU</t>
  </si>
  <si>
    <t>Poslovni objekti izgradnja vatrog. Centra, namjenska kredit</t>
  </si>
  <si>
    <t>Otplata glavnice primljenih kredita</t>
  </si>
  <si>
    <t>Kamate za primljene kredite</t>
  </si>
  <si>
    <t>Ukupno troškovi gradnje</t>
  </si>
  <si>
    <t xml:space="preserve">Pokriće manjka </t>
  </si>
  <si>
    <t>Izvršenje 2022.</t>
  </si>
  <si>
    <t>Dodatno ulaganje na prijevoznim sr</t>
  </si>
  <si>
    <t>Plan 2022.              II. IZMJENE
UKUPNO</t>
  </si>
  <si>
    <t>oprema za održav.i zaštitu</t>
  </si>
  <si>
    <t>Indeks
2022/2021</t>
  </si>
  <si>
    <t>VZ PGŽ -donacija tekuća</t>
  </si>
  <si>
    <t>Podaci iz PRORAČUNA-prihod/PR-RAS-a</t>
  </si>
  <si>
    <t>PRIHODI I RASHODI ZA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</si>
</sst>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theme="4"/>
      <name val="Arial"/>
      <family val="2"/>
      <charset val="238"/>
    </font>
    <font>
      <sz val="8"/>
      <color rgb="FF7030A0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b/>
      <sz val="8"/>
      <color theme="8" tint="-0.249977111117893"/>
      <name val="Arial"/>
      <family val="2"/>
      <charset val="238"/>
    </font>
    <font>
      <b/>
      <sz val="8"/>
      <color rgb="FF7030A0"/>
      <name val="Arial"/>
      <family val="2"/>
      <charset val="238"/>
    </font>
    <font>
      <sz val="8"/>
      <color theme="9" tint="-0.249977111117893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color theme="4"/>
      <name val="Arial"/>
      <family val="2"/>
      <charset val="238"/>
    </font>
    <font>
      <b/>
      <sz val="8"/>
      <color theme="8"/>
      <name val="Arial"/>
      <family val="2"/>
      <charset val="238"/>
    </font>
    <font>
      <sz val="11"/>
      <name val="Calibri"/>
      <family val="2"/>
      <charset val="238"/>
    </font>
    <font>
      <i/>
      <sz val="8"/>
      <name val="Arial"/>
      <family val="2"/>
      <charset val="238"/>
    </font>
    <font>
      <i/>
      <sz val="8"/>
      <color theme="9" tint="-0.499984740745262"/>
      <name val="Arial"/>
      <family val="2"/>
      <charset val="238"/>
    </font>
    <font>
      <b/>
      <sz val="8"/>
      <color theme="8" tint="-0.499984740745262"/>
      <name val="Arial"/>
      <family val="2"/>
      <charset val="238"/>
    </font>
    <font>
      <sz val="8"/>
      <color theme="8" tint="-0.499984740745262"/>
      <name val="Arial"/>
      <family val="2"/>
      <charset val="238"/>
    </font>
    <font>
      <b/>
      <i/>
      <sz val="8"/>
      <color theme="9" tint="-0.499984740745262"/>
      <name val="Arial"/>
      <family val="2"/>
      <charset val="238"/>
    </font>
    <font>
      <b/>
      <sz val="8"/>
      <color indexed="81"/>
      <name val="Segoe UI"/>
      <family val="2"/>
      <charset val="238"/>
    </font>
    <font>
      <sz val="8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indexed="64"/>
      </patternFill>
    </fill>
  </fills>
  <borders count="168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ott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ott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24">
    <xf numFmtId="0" fontId="0" fillId="0" borderId="0" xfId="0"/>
    <xf numFmtId="0" fontId="2" fillId="0" borderId="0" xfId="0" applyFont="1"/>
    <xf numFmtId="3" fontId="3" fillId="0" borderId="0" xfId="0" applyNumberFormat="1" applyFont="1"/>
    <xf numFmtId="4" fontId="2" fillId="0" borderId="0" xfId="0" applyNumberFormat="1" applyFont="1"/>
    <xf numFmtId="3" fontId="4" fillId="0" borderId="0" xfId="0" applyNumberFormat="1" applyFont="1"/>
    <xf numFmtId="3" fontId="2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8" fillId="2" borderId="0" xfId="0" applyNumberFormat="1" applyFont="1" applyFill="1"/>
    <xf numFmtId="3" fontId="8" fillId="0" borderId="0" xfId="0" applyNumberFormat="1" applyFont="1"/>
    <xf numFmtId="0" fontId="8" fillId="3" borderId="0" xfId="0" applyFont="1" applyFill="1"/>
    <xf numFmtId="3" fontId="3" fillId="3" borderId="0" xfId="0" applyNumberFormat="1" applyFont="1" applyFill="1"/>
    <xf numFmtId="4" fontId="2" fillId="3" borderId="0" xfId="0" applyNumberFormat="1" applyFont="1" applyFill="1"/>
    <xf numFmtId="3" fontId="4" fillId="3" borderId="0" xfId="0" applyNumberFormat="1" applyFont="1" applyFill="1"/>
    <xf numFmtId="0" fontId="8" fillId="5" borderId="0" xfId="0" applyFont="1" applyFill="1"/>
    <xf numFmtId="0" fontId="10" fillId="5" borderId="0" xfId="0" applyFont="1" applyFill="1"/>
    <xf numFmtId="4" fontId="2" fillId="5" borderId="0" xfId="0" applyNumberFormat="1" applyFont="1" applyFill="1"/>
    <xf numFmtId="3" fontId="11" fillId="5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3" fontId="10" fillId="0" borderId="3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8" fillId="0" borderId="10" xfId="0" quotePrefix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4" fontId="8" fillId="7" borderId="17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2" xfId="0" quotePrefix="1" applyFont="1" applyBorder="1" applyAlignment="1">
      <alignment horizontal="center"/>
    </xf>
    <xf numFmtId="0" fontId="8" fillId="0" borderId="13" xfId="0" quotePrefix="1" applyFont="1" applyBorder="1" applyAlignment="1">
      <alignment horizontal="center"/>
    </xf>
    <xf numFmtId="0" fontId="8" fillId="0" borderId="18" xfId="0" quotePrefix="1" applyFont="1" applyBorder="1" applyAlignment="1">
      <alignment horizontal="center"/>
    </xf>
    <xf numFmtId="3" fontId="8" fillId="0" borderId="19" xfId="0" quotePrefix="1" applyNumberFormat="1" applyFont="1" applyBorder="1" applyAlignment="1">
      <alignment horizontal="center"/>
    </xf>
    <xf numFmtId="3" fontId="13" fillId="0" borderId="19" xfId="0" quotePrefix="1" applyNumberFormat="1" applyFont="1" applyBorder="1" applyAlignment="1">
      <alignment horizontal="center"/>
    </xf>
    <xf numFmtId="3" fontId="14" fillId="0" borderId="19" xfId="0" quotePrefix="1" applyNumberFormat="1" applyFont="1" applyBorder="1" applyAlignment="1">
      <alignment horizontal="center"/>
    </xf>
    <xf numFmtId="3" fontId="10" fillId="0" borderId="19" xfId="0" quotePrefix="1" applyNumberFormat="1" applyFont="1" applyBorder="1" applyAlignment="1">
      <alignment horizontal="center"/>
    </xf>
    <xf numFmtId="3" fontId="10" fillId="0" borderId="20" xfId="0" quotePrefix="1" applyNumberFormat="1" applyFont="1" applyBorder="1" applyAlignment="1">
      <alignment horizontal="center"/>
    </xf>
    <xf numFmtId="0" fontId="8" fillId="7" borderId="21" xfId="0" quotePrefix="1" applyFont="1" applyFill="1" applyBorder="1" applyAlignment="1">
      <alignment horizontal="center"/>
    </xf>
    <xf numFmtId="3" fontId="12" fillId="0" borderId="19" xfId="0" quotePrefix="1" applyNumberFormat="1" applyFont="1" applyBorder="1" applyAlignment="1">
      <alignment horizontal="center"/>
    </xf>
    <xf numFmtId="0" fontId="13" fillId="0" borderId="19" xfId="0" quotePrefix="1" applyFont="1" applyBorder="1" applyAlignment="1">
      <alignment horizontal="center"/>
    </xf>
    <xf numFmtId="0" fontId="8" fillId="0" borderId="19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4" fontId="2" fillId="0" borderId="12" xfId="0" applyNumberFormat="1" applyFont="1" applyBorder="1"/>
    <xf numFmtId="4" fontId="2" fillId="0" borderId="13" xfId="0" applyNumberFormat="1" applyFont="1" applyBorder="1"/>
    <xf numFmtId="4" fontId="2" fillId="0" borderId="18" xfId="0" applyNumberFormat="1" applyFont="1" applyBorder="1"/>
    <xf numFmtId="3" fontId="15" fillId="0" borderId="22" xfId="0" applyNumberFormat="1" applyFont="1" applyBorder="1"/>
    <xf numFmtId="3" fontId="2" fillId="0" borderId="19" xfId="0" applyNumberFormat="1" applyFont="1" applyBorder="1"/>
    <xf numFmtId="3" fontId="16" fillId="0" borderId="19" xfId="0" applyNumberFormat="1" applyFont="1" applyBorder="1"/>
    <xf numFmtId="3" fontId="6" fillId="0" borderId="19" xfId="0" applyNumberFormat="1" applyFont="1" applyBorder="1"/>
    <xf numFmtId="3" fontId="3" fillId="0" borderId="19" xfId="0" applyNumberFormat="1" applyFont="1" applyBorder="1"/>
    <xf numFmtId="3" fontId="3" fillId="0" borderId="20" xfId="0" applyNumberFormat="1" applyFont="1" applyBorder="1"/>
    <xf numFmtId="3" fontId="2" fillId="7" borderId="23" xfId="0" applyNumberFormat="1" applyFont="1" applyFill="1" applyBorder="1"/>
    <xf numFmtId="4" fontId="6" fillId="0" borderId="19" xfId="0" applyNumberFormat="1" applyFont="1" applyBorder="1"/>
    <xf numFmtId="3" fontId="15" fillId="0" borderId="24" xfId="0" applyNumberFormat="1" applyFont="1" applyBorder="1"/>
    <xf numFmtId="4" fontId="16" fillId="0" borderId="19" xfId="0" applyNumberFormat="1" applyFont="1" applyBorder="1"/>
    <xf numFmtId="4" fontId="2" fillId="0" borderId="19" xfId="0" applyNumberFormat="1" applyFont="1" applyBorder="1"/>
    <xf numFmtId="4" fontId="2" fillId="0" borderId="11" xfId="0" applyNumberFormat="1" applyFont="1" applyBorder="1"/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wrapText="1"/>
    </xf>
    <xf numFmtId="4" fontId="8" fillId="0" borderId="12" xfId="0" applyNumberFormat="1" applyFont="1" applyBorder="1"/>
    <xf numFmtId="4" fontId="8" fillId="0" borderId="13" xfId="0" applyNumberFormat="1" applyFont="1" applyBorder="1"/>
    <xf numFmtId="4" fontId="8" fillId="0" borderId="18" xfId="0" applyNumberFormat="1" applyFont="1" applyBorder="1"/>
    <xf numFmtId="3" fontId="12" fillId="0" borderId="25" xfId="0" applyNumberFormat="1" applyFont="1" applyBorder="1"/>
    <xf numFmtId="3" fontId="8" fillId="0" borderId="19" xfId="0" applyNumberFormat="1" applyFont="1" applyBorder="1"/>
    <xf numFmtId="3" fontId="13" fillId="0" borderId="19" xfId="0" applyNumberFormat="1" applyFont="1" applyBorder="1"/>
    <xf numFmtId="3" fontId="14" fillId="0" borderId="19" xfId="0" applyNumberFormat="1" applyFont="1" applyBorder="1"/>
    <xf numFmtId="3" fontId="17" fillId="0" borderId="19" xfId="0" applyNumberFormat="1" applyFont="1" applyBorder="1"/>
    <xf numFmtId="3" fontId="10" fillId="0" borderId="19" xfId="0" applyNumberFormat="1" applyFont="1" applyBorder="1"/>
    <xf numFmtId="3" fontId="10" fillId="0" borderId="20" xfId="0" applyNumberFormat="1" applyFont="1" applyBorder="1"/>
    <xf numFmtId="3" fontId="8" fillId="7" borderId="11" xfId="0" applyNumberFormat="1" applyFont="1" applyFill="1" applyBorder="1"/>
    <xf numFmtId="4" fontId="14" fillId="0" borderId="19" xfId="0" applyNumberFormat="1" applyFont="1" applyBorder="1"/>
    <xf numFmtId="3" fontId="12" fillId="0" borderId="24" xfId="0" applyNumberFormat="1" applyFont="1" applyBorder="1"/>
    <xf numFmtId="4" fontId="13" fillId="0" borderId="19" xfId="0" applyNumberFormat="1" applyFont="1" applyBorder="1"/>
    <xf numFmtId="4" fontId="8" fillId="0" borderId="19" xfId="0" applyNumberFormat="1" applyFont="1" applyBorder="1"/>
    <xf numFmtId="4" fontId="8" fillId="0" borderId="11" xfId="0" applyNumberFormat="1" applyFont="1" applyBorder="1"/>
    <xf numFmtId="3" fontId="15" fillId="0" borderId="25" xfId="0" applyNumberFormat="1" applyFont="1" applyBorder="1"/>
    <xf numFmtId="3" fontId="2" fillId="7" borderId="11" xfId="0" applyNumberFormat="1" applyFont="1" applyFill="1" applyBorder="1"/>
    <xf numFmtId="0" fontId="2" fillId="0" borderId="11" xfId="0" applyFont="1" applyBorder="1" applyAlignment="1">
      <alignment horizontal="left" wrapText="1"/>
    </xf>
    <xf numFmtId="4" fontId="2" fillId="0" borderId="26" xfId="0" applyNumberFormat="1" applyFont="1" applyBorder="1"/>
    <xf numFmtId="4" fontId="2" fillId="0" borderId="27" xfId="0" applyNumberFormat="1" applyFont="1" applyBorder="1"/>
    <xf numFmtId="4" fontId="2" fillId="0" borderId="28" xfId="0" applyNumberFormat="1" applyFont="1" applyBorder="1"/>
    <xf numFmtId="3" fontId="16" fillId="0" borderId="29" xfId="0" applyNumberFormat="1" applyFont="1" applyBorder="1"/>
    <xf numFmtId="3" fontId="6" fillId="0" borderId="29" xfId="0" applyNumberFormat="1" applyFont="1" applyBorder="1"/>
    <xf numFmtId="3" fontId="2" fillId="0" borderId="29" xfId="1" applyNumberFormat="1" applyFont="1" applyBorder="1" applyAlignment="1">
      <alignment horizontal="right"/>
    </xf>
    <xf numFmtId="3" fontId="3" fillId="0" borderId="29" xfId="1" applyNumberFormat="1" applyFont="1" applyBorder="1" applyAlignment="1">
      <alignment horizontal="right"/>
    </xf>
    <xf numFmtId="3" fontId="3" fillId="0" borderId="30" xfId="1" applyNumberFormat="1" applyFont="1" applyBorder="1" applyAlignment="1">
      <alignment horizontal="right"/>
    </xf>
    <xf numFmtId="4" fontId="6" fillId="0" borderId="29" xfId="0" applyNumberFormat="1" applyFont="1" applyBorder="1"/>
    <xf numFmtId="3" fontId="15" fillId="0" borderId="31" xfId="0" applyNumberFormat="1" applyFont="1" applyBorder="1"/>
    <xf numFmtId="4" fontId="16" fillId="0" borderId="29" xfId="0" applyNumberFormat="1" applyFont="1" applyBorder="1"/>
    <xf numFmtId="4" fontId="2" fillId="0" borderId="29" xfId="0" applyNumberFormat="1" applyFont="1" applyBorder="1"/>
    <xf numFmtId="4" fontId="8" fillId="0" borderId="26" xfId="0" applyNumberFormat="1" applyFont="1" applyBorder="1"/>
    <xf numFmtId="4" fontId="8" fillId="0" borderId="27" xfId="0" applyNumberFormat="1" applyFont="1" applyBorder="1"/>
    <xf numFmtId="4" fontId="8" fillId="0" borderId="28" xfId="0" applyNumberFormat="1" applyFont="1" applyBorder="1"/>
    <xf numFmtId="3" fontId="8" fillId="0" borderId="29" xfId="0" applyNumberFormat="1" applyFont="1" applyBorder="1"/>
    <xf numFmtId="3" fontId="13" fillId="0" borderId="29" xfId="0" applyNumberFormat="1" applyFont="1" applyBorder="1"/>
    <xf numFmtId="3" fontId="14" fillId="0" borderId="29" xfId="0" applyNumberFormat="1" applyFont="1" applyBorder="1"/>
    <xf numFmtId="3" fontId="17" fillId="0" borderId="29" xfId="0" applyNumberFormat="1" applyFont="1" applyBorder="1"/>
    <xf numFmtId="3" fontId="10" fillId="0" borderId="29" xfId="0" applyNumberFormat="1" applyFont="1" applyBorder="1"/>
    <xf numFmtId="3" fontId="10" fillId="0" borderId="30" xfId="0" applyNumberFormat="1" applyFont="1" applyBorder="1"/>
    <xf numFmtId="4" fontId="14" fillId="0" borderId="29" xfId="0" applyNumberFormat="1" applyFont="1" applyBorder="1"/>
    <xf numFmtId="3" fontId="12" fillId="0" borderId="32" xfId="0" applyNumberFormat="1" applyFont="1" applyBorder="1"/>
    <xf numFmtId="4" fontId="13" fillId="0" borderId="29" xfId="0" applyNumberFormat="1" applyFont="1" applyBorder="1"/>
    <xf numFmtId="4" fontId="8" fillId="0" borderId="29" xfId="0" applyNumberFormat="1" applyFont="1" applyBorder="1"/>
    <xf numFmtId="0" fontId="17" fillId="8" borderId="10" xfId="0" applyFont="1" applyFill="1" applyBorder="1" applyAlignment="1">
      <alignment horizontal="center"/>
    </xf>
    <xf numFmtId="0" fontId="17" fillId="8" borderId="11" xfId="0" applyFont="1" applyFill="1" applyBorder="1"/>
    <xf numFmtId="4" fontId="8" fillId="8" borderId="33" xfId="0" applyNumberFormat="1" applyFont="1" applyFill="1" applyBorder="1"/>
    <xf numFmtId="4" fontId="8" fillId="8" borderId="34" xfId="0" applyNumberFormat="1" applyFont="1" applyFill="1" applyBorder="1"/>
    <xf numFmtId="4" fontId="8" fillId="8" borderId="35" xfId="0" applyNumberFormat="1" applyFont="1" applyFill="1" applyBorder="1"/>
    <xf numFmtId="3" fontId="12" fillId="8" borderId="25" xfId="0" applyNumberFormat="1" applyFont="1" applyFill="1" applyBorder="1"/>
    <xf numFmtId="3" fontId="8" fillId="8" borderId="36" xfId="0" applyNumberFormat="1" applyFont="1" applyFill="1" applyBorder="1"/>
    <xf numFmtId="3" fontId="13" fillId="8" borderId="36" xfId="0" applyNumberFormat="1" applyFont="1" applyFill="1" applyBorder="1"/>
    <xf numFmtId="3" fontId="14" fillId="8" borderId="36" xfId="0" applyNumberFormat="1" applyFont="1" applyFill="1" applyBorder="1"/>
    <xf numFmtId="3" fontId="17" fillId="8" borderId="36" xfId="0" applyNumberFormat="1" applyFont="1" applyFill="1" applyBorder="1"/>
    <xf numFmtId="3" fontId="10" fillId="8" borderId="36" xfId="0" applyNumberFormat="1" applyFont="1" applyFill="1" applyBorder="1"/>
    <xf numFmtId="3" fontId="10" fillId="8" borderId="37" xfId="0" applyNumberFormat="1" applyFont="1" applyFill="1" applyBorder="1"/>
    <xf numFmtId="4" fontId="14" fillId="8" borderId="36" xfId="0" applyNumberFormat="1" applyFont="1" applyFill="1" applyBorder="1"/>
    <xf numFmtId="3" fontId="12" fillId="8" borderId="38" xfId="0" applyNumberFormat="1" applyFont="1" applyFill="1" applyBorder="1"/>
    <xf numFmtId="4" fontId="13" fillId="8" borderId="36" xfId="0" applyNumberFormat="1" applyFont="1" applyFill="1" applyBorder="1"/>
    <xf numFmtId="4" fontId="8" fillId="8" borderId="36" xfId="0" applyNumberFormat="1" applyFont="1" applyFill="1" applyBorder="1"/>
    <xf numFmtId="4" fontId="8" fillId="8" borderId="11" xfId="0" applyNumberFormat="1" applyFont="1" applyFill="1" applyBorder="1"/>
    <xf numFmtId="4" fontId="2" fillId="0" borderId="39" xfId="0" applyNumberFormat="1" applyFont="1" applyBorder="1"/>
    <xf numFmtId="4" fontId="2" fillId="0" borderId="40" xfId="0" applyNumberFormat="1" applyFont="1" applyBorder="1"/>
    <xf numFmtId="4" fontId="2" fillId="0" borderId="14" xfId="0" applyNumberFormat="1" applyFont="1" applyBorder="1"/>
    <xf numFmtId="3" fontId="2" fillId="0" borderId="15" xfId="0" applyNumberFormat="1" applyFont="1" applyBorder="1"/>
    <xf numFmtId="3" fontId="16" fillId="0" borderId="15" xfId="0" applyNumberFormat="1" applyFont="1" applyBorder="1"/>
    <xf numFmtId="3" fontId="6" fillId="0" borderId="15" xfId="0" applyNumberFormat="1" applyFont="1" applyBorder="1"/>
    <xf numFmtId="3" fontId="2" fillId="0" borderId="16" xfId="0" applyNumberFormat="1" applyFont="1" applyBorder="1"/>
    <xf numFmtId="4" fontId="6" fillId="0" borderId="15" xfId="0" applyNumberFormat="1" applyFont="1" applyBorder="1"/>
    <xf numFmtId="3" fontId="15" fillId="0" borderId="41" xfId="0" applyNumberFormat="1" applyFont="1" applyBorder="1"/>
    <xf numFmtId="4" fontId="16" fillId="0" borderId="15" xfId="0" applyNumberFormat="1" applyFont="1" applyBorder="1"/>
    <xf numFmtId="4" fontId="2" fillId="0" borderId="15" xfId="0" applyNumberFormat="1" applyFont="1" applyBorder="1"/>
    <xf numFmtId="3" fontId="2" fillId="0" borderId="20" xfId="0" applyNumberFormat="1" applyFont="1" applyBorder="1"/>
    <xf numFmtId="3" fontId="17" fillId="0" borderId="20" xfId="0" applyNumberFormat="1" applyFont="1" applyBorder="1"/>
    <xf numFmtId="0" fontId="17" fillId="0" borderId="11" xfId="0" applyFont="1" applyBorder="1" applyAlignment="1">
      <alignment horizontal="left" wrapText="1"/>
    </xf>
    <xf numFmtId="1" fontId="2" fillId="0" borderId="10" xfId="0" quotePrefix="1" applyNumberFormat="1" applyFont="1" applyBorder="1" applyAlignment="1">
      <alignment horizontal="center"/>
    </xf>
    <xf numFmtId="1" fontId="17" fillId="0" borderId="10" xfId="0" quotePrefix="1" applyNumberFormat="1" applyFont="1" applyBorder="1" applyAlignment="1">
      <alignment horizontal="center"/>
    </xf>
    <xf numFmtId="3" fontId="12" fillId="0" borderId="31" xfId="0" applyNumberFormat="1" applyFont="1" applyBorder="1"/>
    <xf numFmtId="1" fontId="17" fillId="8" borderId="10" xfId="0" quotePrefix="1" applyNumberFormat="1" applyFont="1" applyFill="1" applyBorder="1" applyAlignment="1">
      <alignment horizontal="center"/>
    </xf>
    <xf numFmtId="0" fontId="17" fillId="8" borderId="11" xfId="0" applyFont="1" applyFill="1" applyBorder="1" applyAlignment="1">
      <alignment wrapText="1"/>
    </xf>
    <xf numFmtId="4" fontId="8" fillId="8" borderId="12" xfId="0" applyNumberFormat="1" applyFont="1" applyFill="1" applyBorder="1"/>
    <xf numFmtId="4" fontId="8" fillId="8" borderId="13" xfId="0" applyNumberFormat="1" applyFont="1" applyFill="1" applyBorder="1"/>
    <xf numFmtId="4" fontId="8" fillId="8" borderId="18" xfId="0" applyNumberFormat="1" applyFont="1" applyFill="1" applyBorder="1"/>
    <xf numFmtId="3" fontId="8" fillId="8" borderId="19" xfId="0" applyNumberFormat="1" applyFont="1" applyFill="1" applyBorder="1"/>
    <xf numFmtId="3" fontId="17" fillId="8" borderId="19" xfId="0" applyNumberFormat="1" applyFont="1" applyFill="1" applyBorder="1"/>
    <xf numFmtId="3" fontId="14" fillId="8" borderId="19" xfId="0" applyNumberFormat="1" applyFont="1" applyFill="1" applyBorder="1"/>
    <xf numFmtId="3" fontId="8" fillId="8" borderId="20" xfId="0" applyNumberFormat="1" applyFont="1" applyFill="1" applyBorder="1"/>
    <xf numFmtId="4" fontId="14" fillId="8" borderId="19" xfId="0" applyNumberFormat="1" applyFont="1" applyFill="1" applyBorder="1"/>
    <xf numFmtId="4" fontId="12" fillId="8" borderId="19" xfId="0" applyNumberFormat="1" applyFont="1" applyFill="1" applyBorder="1"/>
    <xf numFmtId="4" fontId="13" fillId="8" borderId="19" xfId="0" applyNumberFormat="1" applyFont="1" applyFill="1" applyBorder="1"/>
    <xf numFmtId="4" fontId="8" fillId="8" borderId="19" xfId="0" applyNumberFormat="1" applyFont="1" applyFill="1" applyBorder="1"/>
    <xf numFmtId="4" fontId="15" fillId="0" borderId="19" xfId="0" applyNumberFormat="1" applyFont="1" applyBorder="1"/>
    <xf numFmtId="1" fontId="18" fillId="0" borderId="10" xfId="0" quotePrefix="1" applyNumberFormat="1" applyFont="1" applyBorder="1" applyAlignment="1">
      <alignment horizontal="center"/>
    </xf>
    <xf numFmtId="0" fontId="18" fillId="0" borderId="11" xfId="0" applyFont="1" applyBorder="1" applyAlignment="1">
      <alignment wrapText="1"/>
    </xf>
    <xf numFmtId="3" fontId="18" fillId="0" borderId="19" xfId="0" applyNumberFormat="1" applyFont="1" applyBorder="1"/>
    <xf numFmtId="4" fontId="2" fillId="8" borderId="12" xfId="0" applyNumberFormat="1" applyFont="1" applyFill="1" applyBorder="1"/>
    <xf numFmtId="4" fontId="2" fillId="8" borderId="13" xfId="0" applyNumberFormat="1" applyFont="1" applyFill="1" applyBorder="1"/>
    <xf numFmtId="4" fontId="2" fillId="8" borderId="18" xfId="0" applyNumberFormat="1" applyFont="1" applyFill="1" applyBorder="1"/>
    <xf numFmtId="3" fontId="2" fillId="8" borderId="19" xfId="0" applyNumberFormat="1" applyFont="1" applyFill="1" applyBorder="1"/>
    <xf numFmtId="3" fontId="16" fillId="8" borderId="19" xfId="0" applyNumberFormat="1" applyFont="1" applyFill="1" applyBorder="1"/>
    <xf numFmtId="3" fontId="6" fillId="8" borderId="19" xfId="0" applyNumberFormat="1" applyFont="1" applyFill="1" applyBorder="1"/>
    <xf numFmtId="3" fontId="18" fillId="8" borderId="19" xfId="0" applyNumberFormat="1" applyFont="1" applyFill="1" applyBorder="1"/>
    <xf numFmtId="3" fontId="18" fillId="8" borderId="20" xfId="0" applyNumberFormat="1" applyFont="1" applyFill="1" applyBorder="1"/>
    <xf numFmtId="4" fontId="6" fillId="8" borderId="19" xfId="0" applyNumberFormat="1" applyFont="1" applyFill="1" applyBorder="1"/>
    <xf numFmtId="4" fontId="15" fillId="8" borderId="19" xfId="0" applyNumberFormat="1" applyFont="1" applyFill="1" applyBorder="1"/>
    <xf numFmtId="4" fontId="16" fillId="8" borderId="19" xfId="0" applyNumberFormat="1" applyFont="1" applyFill="1" applyBorder="1"/>
    <xf numFmtId="4" fontId="2" fillId="8" borderId="19" xfId="0" applyNumberFormat="1" applyFont="1" applyFill="1" applyBorder="1"/>
    <xf numFmtId="0" fontId="8" fillId="9" borderId="10" xfId="0" applyFont="1" applyFill="1" applyBorder="1" applyAlignment="1">
      <alignment horizontal="center"/>
    </xf>
    <xf numFmtId="0" fontId="8" fillId="9" borderId="11" xfId="0" applyFont="1" applyFill="1" applyBorder="1" applyAlignment="1">
      <alignment wrapText="1"/>
    </xf>
    <xf numFmtId="4" fontId="8" fillId="9" borderId="12" xfId="0" applyNumberFormat="1" applyFont="1" applyFill="1" applyBorder="1"/>
    <xf numFmtId="4" fontId="8" fillId="9" borderId="13" xfId="0" applyNumberFormat="1" applyFont="1" applyFill="1" applyBorder="1"/>
    <xf numFmtId="4" fontId="8" fillId="9" borderId="18" xfId="0" applyNumberFormat="1" applyFont="1" applyFill="1" applyBorder="1"/>
    <xf numFmtId="3" fontId="12" fillId="9" borderId="25" xfId="0" applyNumberFormat="1" applyFont="1" applyFill="1" applyBorder="1"/>
    <xf numFmtId="3" fontId="8" fillId="9" borderId="19" xfId="0" applyNumberFormat="1" applyFont="1" applyFill="1" applyBorder="1"/>
    <xf numFmtId="3" fontId="13" fillId="9" borderId="19" xfId="0" applyNumberFormat="1" applyFont="1" applyFill="1" applyBorder="1"/>
    <xf numFmtId="3" fontId="14" fillId="9" borderId="19" xfId="0" applyNumberFormat="1" applyFont="1" applyFill="1" applyBorder="1"/>
    <xf numFmtId="3" fontId="14" fillId="3" borderId="19" xfId="0" applyNumberFormat="1" applyFont="1" applyFill="1" applyBorder="1"/>
    <xf numFmtId="4" fontId="14" fillId="9" borderId="19" xfId="0" applyNumberFormat="1" applyFont="1" applyFill="1" applyBorder="1"/>
    <xf numFmtId="4" fontId="12" fillId="9" borderId="19" xfId="0" applyNumberFormat="1" applyFont="1" applyFill="1" applyBorder="1"/>
    <xf numFmtId="4" fontId="13" fillId="9" borderId="19" xfId="0" applyNumberFormat="1" applyFont="1" applyFill="1" applyBorder="1"/>
    <xf numFmtId="4" fontId="8" fillId="9" borderId="19" xfId="0" applyNumberFormat="1" applyFont="1" applyFill="1" applyBorder="1"/>
    <xf numFmtId="4" fontId="8" fillId="9" borderId="11" xfId="0" applyNumberFormat="1" applyFont="1" applyFill="1" applyBorder="1"/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wrapText="1"/>
    </xf>
    <xf numFmtId="4" fontId="2" fillId="6" borderId="42" xfId="0" applyNumberFormat="1" applyFont="1" applyFill="1" applyBorder="1"/>
    <xf numFmtId="4" fontId="2" fillId="6" borderId="43" xfId="0" applyNumberFormat="1" applyFont="1" applyFill="1" applyBorder="1"/>
    <xf numFmtId="4" fontId="2" fillId="6" borderId="44" xfId="0" applyNumberFormat="1" applyFont="1" applyFill="1" applyBorder="1"/>
    <xf numFmtId="3" fontId="15" fillId="6" borderId="45" xfId="0" applyNumberFormat="1" applyFont="1" applyFill="1" applyBorder="1"/>
    <xf numFmtId="3" fontId="2" fillId="0" borderId="46" xfId="0" applyNumberFormat="1" applyFont="1" applyBorder="1"/>
    <xf numFmtId="3" fontId="16" fillId="0" borderId="46" xfId="0" applyNumberFormat="1" applyFont="1" applyBorder="1"/>
    <xf numFmtId="3" fontId="6" fillId="6" borderId="47" xfId="0" applyNumberFormat="1" applyFont="1" applyFill="1" applyBorder="1"/>
    <xf numFmtId="3" fontId="8" fillId="6" borderId="48" xfId="0" applyNumberFormat="1" applyFont="1" applyFill="1" applyBorder="1"/>
    <xf numFmtId="3" fontId="10" fillId="6" borderId="48" xfId="0" applyNumberFormat="1" applyFont="1" applyFill="1" applyBorder="1"/>
    <xf numFmtId="3" fontId="10" fillId="6" borderId="49" xfId="0" applyNumberFormat="1" applyFont="1" applyFill="1" applyBorder="1"/>
    <xf numFmtId="4" fontId="6" fillId="6" borderId="48" xfId="0" applyNumberFormat="1" applyFont="1" applyFill="1" applyBorder="1"/>
    <xf numFmtId="4" fontId="15" fillId="6" borderId="48" xfId="0" applyNumberFormat="1" applyFont="1" applyFill="1" applyBorder="1"/>
    <xf numFmtId="4" fontId="16" fillId="0" borderId="48" xfId="0" applyNumberFormat="1" applyFont="1" applyBorder="1"/>
    <xf numFmtId="4" fontId="2" fillId="0" borderId="48" xfId="0" applyNumberFormat="1" applyFont="1" applyBorder="1"/>
    <xf numFmtId="0" fontId="2" fillId="6" borderId="0" xfId="0" applyFont="1" applyFill="1"/>
    <xf numFmtId="4" fontId="2" fillId="6" borderId="50" xfId="0" applyNumberFormat="1" applyFont="1" applyFill="1" applyBorder="1"/>
    <xf numFmtId="4" fontId="2" fillId="6" borderId="51" xfId="0" applyNumberFormat="1" applyFont="1" applyFill="1" applyBorder="1"/>
    <xf numFmtId="4" fontId="2" fillId="6" borderId="52" xfId="0" applyNumberFormat="1" applyFont="1" applyFill="1" applyBorder="1"/>
    <xf numFmtId="3" fontId="6" fillId="6" borderId="53" xfId="0" applyNumberFormat="1" applyFont="1" applyFill="1" applyBorder="1"/>
    <xf numFmtId="3" fontId="8" fillId="6" borderId="54" xfId="0" applyNumberFormat="1" applyFont="1" applyFill="1" applyBorder="1"/>
    <xf numFmtId="3" fontId="10" fillId="6" borderId="54" xfId="0" applyNumberFormat="1" applyFont="1" applyFill="1" applyBorder="1"/>
    <xf numFmtId="3" fontId="10" fillId="6" borderId="55" xfId="0" applyNumberFormat="1" applyFont="1" applyFill="1" applyBorder="1"/>
    <xf numFmtId="4" fontId="15" fillId="6" borderId="54" xfId="0" applyNumberFormat="1" applyFont="1" applyFill="1" applyBorder="1"/>
    <xf numFmtId="4" fontId="2" fillId="0" borderId="56" xfId="0" applyNumberFormat="1" applyFont="1" applyBorder="1"/>
    <xf numFmtId="4" fontId="2" fillId="0" borderId="57" xfId="0" applyNumberFormat="1" applyFont="1" applyBorder="1"/>
    <xf numFmtId="4" fontId="2" fillId="0" borderId="58" xfId="0" applyNumberFormat="1" applyFont="1" applyBorder="1"/>
    <xf numFmtId="3" fontId="15" fillId="0" borderId="45" xfId="0" applyNumberFormat="1" applyFont="1" applyBorder="1"/>
    <xf numFmtId="3" fontId="6" fillId="0" borderId="59" xfId="0" applyNumberFormat="1" applyFont="1" applyBorder="1"/>
    <xf numFmtId="3" fontId="2" fillId="0" borderId="60" xfId="0" applyNumberFormat="1" applyFont="1" applyBorder="1"/>
    <xf numFmtId="3" fontId="3" fillId="0" borderId="60" xfId="0" applyNumberFormat="1" applyFont="1" applyBorder="1"/>
    <xf numFmtId="3" fontId="3" fillId="0" borderId="61" xfId="0" applyNumberFormat="1" applyFont="1" applyBorder="1"/>
    <xf numFmtId="4" fontId="15" fillId="0" borderId="60" xfId="0" applyNumberFormat="1" applyFont="1" applyBorder="1"/>
    <xf numFmtId="4" fontId="2" fillId="0" borderId="62" xfId="0" applyNumberFormat="1" applyFont="1" applyBorder="1"/>
    <xf numFmtId="4" fontId="2" fillId="0" borderId="63" xfId="0" applyNumberFormat="1" applyFont="1" applyBorder="1"/>
    <xf numFmtId="4" fontId="2" fillId="0" borderId="64" xfId="0" applyNumberFormat="1" applyFont="1" applyBorder="1"/>
    <xf numFmtId="3" fontId="6" fillId="0" borderId="65" xfId="0" applyNumberFormat="1" applyFont="1" applyBorder="1"/>
    <xf numFmtId="3" fontId="2" fillId="0" borderId="66" xfId="0" applyNumberFormat="1" applyFont="1" applyBorder="1"/>
    <xf numFmtId="3" fontId="3" fillId="0" borderId="66" xfId="0" applyNumberFormat="1" applyFont="1" applyBorder="1"/>
    <xf numFmtId="3" fontId="3" fillId="0" borderId="67" xfId="0" applyNumberFormat="1" applyFont="1" applyBorder="1"/>
    <xf numFmtId="4" fontId="2" fillId="0" borderId="33" xfId="0" applyNumberFormat="1" applyFont="1" applyBorder="1"/>
    <xf numFmtId="4" fontId="2" fillId="0" borderId="34" xfId="0" applyNumberFormat="1" applyFont="1" applyBorder="1"/>
    <xf numFmtId="4" fontId="2" fillId="0" borderId="35" xfId="0" applyNumberFormat="1" applyFont="1" applyBorder="1"/>
    <xf numFmtId="3" fontId="2" fillId="0" borderId="68" xfId="0" applyNumberFormat="1" applyFont="1" applyBorder="1"/>
    <xf numFmtId="3" fontId="16" fillId="0" borderId="68" xfId="0" applyNumberFormat="1" applyFont="1" applyBorder="1"/>
    <xf numFmtId="3" fontId="6" fillId="0" borderId="69" xfId="0" applyNumberFormat="1" applyFont="1" applyBorder="1"/>
    <xf numFmtId="3" fontId="2" fillId="0" borderId="36" xfId="0" applyNumberFormat="1" applyFont="1" applyBorder="1"/>
    <xf numFmtId="3" fontId="3" fillId="0" borderId="36" xfId="0" applyNumberFormat="1" applyFont="1" applyBorder="1"/>
    <xf numFmtId="3" fontId="3" fillId="0" borderId="37" xfId="0" applyNumberFormat="1" applyFont="1" applyBorder="1"/>
    <xf numFmtId="4" fontId="15" fillId="0" borderId="36" xfId="0" applyNumberFormat="1" applyFont="1" applyBorder="1"/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wrapText="1"/>
    </xf>
    <xf numFmtId="4" fontId="2" fillId="6" borderId="14" xfId="0" applyNumberFormat="1" applyFont="1" applyFill="1" applyBorder="1"/>
    <xf numFmtId="3" fontId="15" fillId="0" borderId="72" xfId="0" applyNumberFormat="1" applyFont="1" applyBorder="1"/>
    <xf numFmtId="3" fontId="6" fillId="0" borderId="73" xfId="0" applyNumberFormat="1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4" fontId="15" fillId="0" borderId="15" xfId="0" applyNumberFormat="1" applyFont="1" applyBorder="1"/>
    <xf numFmtId="0" fontId="8" fillId="10" borderId="74" xfId="0" applyFont="1" applyFill="1" applyBorder="1" applyAlignment="1">
      <alignment horizontal="center"/>
    </xf>
    <xf numFmtId="0" fontId="8" fillId="10" borderId="75" xfId="0" applyFont="1" applyFill="1" applyBorder="1" applyAlignment="1">
      <alignment wrapText="1"/>
    </xf>
    <xf numFmtId="4" fontId="8" fillId="10" borderId="76" xfId="0" applyNumberFormat="1" applyFont="1" applyFill="1" applyBorder="1"/>
    <xf numFmtId="4" fontId="8" fillId="10" borderId="77" xfId="0" applyNumberFormat="1" applyFont="1" applyFill="1" applyBorder="1"/>
    <xf numFmtId="4" fontId="8" fillId="10" borderId="78" xfId="0" applyNumberFormat="1" applyFont="1" applyFill="1" applyBorder="1"/>
    <xf numFmtId="4" fontId="12" fillId="10" borderId="78" xfId="0" applyNumberFormat="1" applyFont="1" applyFill="1" applyBorder="1"/>
    <xf numFmtId="3" fontId="8" fillId="10" borderId="79" xfId="0" applyNumberFormat="1" applyFont="1" applyFill="1" applyBorder="1"/>
    <xf numFmtId="3" fontId="14" fillId="10" borderId="80" xfId="0" applyNumberFormat="1" applyFont="1" applyFill="1" applyBorder="1"/>
    <xf numFmtId="3" fontId="14" fillId="10" borderId="81" xfId="0" applyNumberFormat="1" applyFont="1" applyFill="1" applyBorder="1"/>
    <xf numFmtId="3" fontId="14" fillId="10" borderId="82" xfId="0" applyNumberFormat="1" applyFont="1" applyFill="1" applyBorder="1"/>
    <xf numFmtId="3" fontId="8" fillId="7" borderId="83" xfId="0" applyNumberFormat="1" applyFont="1" applyFill="1" applyBorder="1"/>
    <xf numFmtId="4" fontId="14" fillId="10" borderId="81" xfId="0" applyNumberFormat="1" applyFont="1" applyFill="1" applyBorder="1"/>
    <xf numFmtId="4" fontId="12" fillId="10" borderId="81" xfId="0" applyNumberFormat="1" applyFont="1" applyFill="1" applyBorder="1"/>
    <xf numFmtId="4" fontId="13" fillId="10" borderId="81" xfId="0" applyNumberFormat="1" applyFont="1" applyFill="1" applyBorder="1"/>
    <xf numFmtId="4" fontId="8" fillId="10" borderId="81" xfId="0" applyNumberFormat="1" applyFont="1" applyFill="1" applyBorder="1"/>
    <xf numFmtId="1" fontId="2" fillId="9" borderId="7" xfId="0" quotePrefix="1" applyNumberFormat="1" applyFont="1" applyFill="1" applyBorder="1" applyAlignment="1">
      <alignment horizontal="center"/>
    </xf>
    <xf numFmtId="0" fontId="8" fillId="9" borderId="9" xfId="0" applyFont="1" applyFill="1" applyBorder="1" applyAlignment="1">
      <alignment wrapText="1"/>
    </xf>
    <xf numFmtId="4" fontId="8" fillId="9" borderId="84" xfId="0" applyNumberFormat="1" applyFont="1" applyFill="1" applyBorder="1"/>
    <xf numFmtId="4" fontId="8" fillId="9" borderId="85" xfId="0" applyNumberFormat="1" applyFont="1" applyFill="1" applyBorder="1"/>
    <xf numFmtId="4" fontId="8" fillId="9" borderId="86" xfId="0" applyNumberFormat="1" applyFont="1" applyFill="1" applyBorder="1"/>
    <xf numFmtId="4" fontId="12" fillId="9" borderId="86" xfId="0" applyNumberFormat="1" applyFont="1" applyFill="1" applyBorder="1"/>
    <xf numFmtId="3" fontId="8" fillId="9" borderId="8" xfId="0" applyNumberFormat="1" applyFont="1" applyFill="1" applyBorder="1"/>
    <xf numFmtId="3" fontId="13" fillId="9" borderId="8" xfId="0" applyNumberFormat="1" applyFont="1" applyFill="1" applyBorder="1"/>
    <xf numFmtId="3" fontId="14" fillId="9" borderId="8" xfId="0" applyNumberFormat="1" applyFont="1" applyFill="1" applyBorder="1"/>
    <xf numFmtId="3" fontId="8" fillId="7" borderId="9" xfId="0" applyNumberFormat="1" applyFont="1" applyFill="1" applyBorder="1"/>
    <xf numFmtId="4" fontId="14" fillId="9" borderId="8" xfId="0" applyNumberFormat="1" applyFont="1" applyFill="1" applyBorder="1"/>
    <xf numFmtId="4" fontId="12" fillId="9" borderId="8" xfId="0" applyNumberFormat="1" applyFont="1" applyFill="1" applyBorder="1"/>
    <xf numFmtId="4" fontId="13" fillId="9" borderId="8" xfId="0" applyNumberFormat="1" applyFont="1" applyFill="1" applyBorder="1"/>
    <xf numFmtId="4" fontId="8" fillId="9" borderId="8" xfId="0" applyNumberFormat="1" applyFont="1" applyFill="1" applyBorder="1"/>
    <xf numFmtId="4" fontId="8" fillId="9" borderId="9" xfId="0" applyNumberFormat="1" applyFont="1" applyFill="1" applyBorder="1"/>
    <xf numFmtId="1" fontId="2" fillId="0" borderId="15" xfId="0" quotePrefix="1" applyNumberFormat="1" applyFont="1" applyBorder="1" applyAlignment="1">
      <alignment horizontal="center"/>
    </xf>
    <xf numFmtId="0" fontId="8" fillId="0" borderId="15" xfId="0" applyFont="1" applyBorder="1" applyAlignment="1">
      <alignment wrapText="1"/>
    </xf>
    <xf numFmtId="3" fontId="10" fillId="0" borderId="15" xfId="0" applyNumberFormat="1" applyFont="1" applyBorder="1"/>
    <xf numFmtId="4" fontId="8" fillId="0" borderId="15" xfId="0" applyNumberFormat="1" applyFont="1" applyBorder="1"/>
    <xf numFmtId="4" fontId="8" fillId="0" borderId="0" xfId="0" applyNumberFormat="1" applyFont="1"/>
    <xf numFmtId="3" fontId="11" fillId="11" borderId="87" xfId="0" applyNumberFormat="1" applyFont="1" applyFill="1" applyBorder="1"/>
    <xf numFmtId="3" fontId="8" fillId="0" borderId="15" xfId="0" applyNumberFormat="1" applyFont="1" applyBorder="1"/>
    <xf numFmtId="3" fontId="19" fillId="0" borderId="15" xfId="0" applyNumberFormat="1" applyFont="1" applyBorder="1"/>
    <xf numFmtId="3" fontId="14" fillId="0" borderId="15" xfId="0" applyNumberFormat="1" applyFont="1" applyBorder="1"/>
    <xf numFmtId="3" fontId="8" fillId="12" borderId="88" xfId="0" applyNumberFormat="1" applyFont="1" applyFill="1" applyBorder="1"/>
    <xf numFmtId="0" fontId="2" fillId="0" borderId="19" xfId="0" applyFont="1" applyBorder="1"/>
    <xf numFmtId="0" fontId="9" fillId="0" borderId="19" xfId="0" applyFont="1" applyBorder="1"/>
    <xf numFmtId="3" fontId="11" fillId="13" borderId="24" xfId="0" applyNumberFormat="1" applyFont="1" applyFill="1" applyBorder="1"/>
    <xf numFmtId="3" fontId="9" fillId="0" borderId="19" xfId="0" applyNumberFormat="1" applyFont="1" applyBorder="1"/>
    <xf numFmtId="3" fontId="8" fillId="11" borderId="89" xfId="0" applyNumberFormat="1" applyFont="1" applyFill="1" applyBorder="1"/>
    <xf numFmtId="3" fontId="11" fillId="11" borderId="90" xfId="0" applyNumberFormat="1" applyFont="1" applyFill="1" applyBorder="1"/>
    <xf numFmtId="0" fontId="20" fillId="0" borderId="19" xfId="0" applyFont="1" applyBorder="1"/>
    <xf numFmtId="3" fontId="4" fillId="0" borderId="19" xfId="0" applyNumberFormat="1" applyFont="1" applyBorder="1"/>
    <xf numFmtId="3" fontId="5" fillId="0" borderId="19" xfId="0" applyNumberFormat="1" applyFont="1" applyBorder="1"/>
    <xf numFmtId="3" fontId="7" fillId="0" borderId="19" xfId="0" applyNumberFormat="1" applyFont="1" applyBorder="1"/>
    <xf numFmtId="0" fontId="8" fillId="0" borderId="19" xfId="0" applyFont="1" applyBorder="1"/>
    <xf numFmtId="3" fontId="11" fillId="0" borderId="19" xfId="0" applyNumberFormat="1" applyFont="1" applyBorder="1"/>
    <xf numFmtId="3" fontId="19" fillId="0" borderId="19" xfId="0" applyNumberFormat="1" applyFont="1" applyBorder="1"/>
    <xf numFmtId="4" fontId="9" fillId="0" borderId="19" xfId="0" applyNumberFormat="1" applyFont="1" applyBorder="1"/>
    <xf numFmtId="0" fontId="8" fillId="0" borderId="19" xfId="0" quotePrefix="1" applyFont="1" applyBorder="1" applyAlignment="1">
      <alignment horizontal="center" vertical="justify" wrapText="1"/>
    </xf>
    <xf numFmtId="0" fontId="8" fillId="0" borderId="19" xfId="0" applyFont="1" applyBorder="1" applyAlignment="1">
      <alignment horizontal="center" wrapText="1"/>
    </xf>
    <xf numFmtId="3" fontId="10" fillId="0" borderId="19" xfId="0" applyNumberFormat="1" applyFont="1" applyBorder="1" applyAlignment="1">
      <alignment horizontal="center" wrapText="1"/>
    </xf>
    <xf numFmtId="4" fontId="8" fillId="0" borderId="19" xfId="0" applyNumberFormat="1" applyFont="1" applyBorder="1" applyAlignment="1">
      <alignment horizontal="center" wrapText="1"/>
    </xf>
    <xf numFmtId="3" fontId="8" fillId="0" borderId="19" xfId="0" applyNumberFormat="1" applyFont="1" applyBorder="1" applyAlignment="1">
      <alignment horizontal="center" wrapText="1"/>
    </xf>
    <xf numFmtId="3" fontId="19" fillId="0" borderId="19" xfId="0" applyNumberFormat="1" applyFont="1" applyBorder="1" applyAlignment="1">
      <alignment horizontal="center" wrapText="1"/>
    </xf>
    <xf numFmtId="3" fontId="14" fillId="0" borderId="19" xfId="0" applyNumberFormat="1" applyFont="1" applyBorder="1" applyAlignment="1">
      <alignment horizontal="center" wrapText="1"/>
    </xf>
    <xf numFmtId="0" fontId="21" fillId="0" borderId="19" xfId="0" applyFont="1" applyBorder="1" applyAlignment="1">
      <alignment vertical="center"/>
    </xf>
    <xf numFmtId="0" fontId="8" fillId="0" borderId="19" xfId="0" applyFont="1" applyBorder="1" applyAlignment="1">
      <alignment horizontal="center"/>
    </xf>
    <xf numFmtId="0" fontId="10" fillId="0" borderId="19" xfId="0" quotePrefix="1" applyFont="1" applyBorder="1" applyAlignment="1">
      <alignment horizontal="center" wrapText="1"/>
    </xf>
    <xf numFmtId="4" fontId="8" fillId="0" borderId="19" xfId="0" quotePrefix="1" applyNumberFormat="1" applyFont="1" applyBorder="1" applyAlignment="1">
      <alignment horizontal="center"/>
    </xf>
    <xf numFmtId="3" fontId="19" fillId="0" borderId="19" xfId="0" quotePrefix="1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wrapText="1"/>
    </xf>
    <xf numFmtId="4" fontId="3" fillId="0" borderId="19" xfId="0" applyNumberFormat="1" applyFont="1" applyBorder="1"/>
    <xf numFmtId="0" fontId="17" fillId="0" borderId="19" xfId="0" applyFont="1" applyBorder="1" applyAlignment="1">
      <alignment horizontal="center"/>
    </xf>
    <xf numFmtId="0" fontId="17" fillId="0" borderId="19" xfId="0" applyFont="1" applyBorder="1" applyAlignment="1">
      <alignment wrapText="1"/>
    </xf>
    <xf numFmtId="4" fontId="10" fillId="0" borderId="19" xfId="0" applyNumberFormat="1" applyFont="1" applyBorder="1"/>
    <xf numFmtId="0" fontId="2" fillId="0" borderId="19" xfId="0" applyFont="1" applyBorder="1" applyAlignment="1">
      <alignment horizontal="left" wrapText="1"/>
    </xf>
    <xf numFmtId="3" fontId="2" fillId="0" borderId="19" xfId="1" applyNumberFormat="1" applyFont="1" applyBorder="1" applyAlignment="1">
      <alignment horizontal="right"/>
    </xf>
    <xf numFmtId="3" fontId="3" fillId="0" borderId="19" xfId="1" applyNumberFormat="1" applyFont="1" applyBorder="1" applyAlignment="1">
      <alignment horizontal="right"/>
    </xf>
    <xf numFmtId="0" fontId="17" fillId="0" borderId="19" xfId="0" applyFont="1" applyBorder="1"/>
    <xf numFmtId="0" fontId="17" fillId="0" borderId="0" xfId="0" applyFont="1"/>
    <xf numFmtId="4" fontId="10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3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4" fontId="8" fillId="6" borderId="0" xfId="0" applyNumberFormat="1" applyFont="1" applyFill="1"/>
    <xf numFmtId="4" fontId="8" fillId="6" borderId="19" xfId="0" applyNumberFormat="1" applyFont="1" applyFill="1" applyBorder="1"/>
    <xf numFmtId="4" fontId="2" fillId="6" borderId="19" xfId="0" applyNumberFormat="1" applyFont="1" applyFill="1" applyBorder="1"/>
    <xf numFmtId="4" fontId="8" fillId="6" borderId="19" xfId="0" applyNumberFormat="1" applyFont="1" applyFill="1" applyBorder="1" applyAlignment="1">
      <alignment horizontal="center" wrapText="1"/>
    </xf>
    <xf numFmtId="4" fontId="8" fillId="6" borderId="19" xfId="0" quotePrefix="1" applyNumberFormat="1" applyFont="1" applyFill="1" applyBorder="1" applyAlignment="1">
      <alignment horizontal="center"/>
    </xf>
    <xf numFmtId="4" fontId="2" fillId="6" borderId="0" xfId="0" applyNumberFormat="1" applyFont="1" applyFill="1"/>
    <xf numFmtId="3" fontId="15" fillId="0" borderId="92" xfId="0" applyNumberFormat="1" applyFont="1" applyBorder="1"/>
    <xf numFmtId="3" fontId="2" fillId="0" borderId="93" xfId="0" applyNumberFormat="1" applyFont="1" applyBorder="1"/>
    <xf numFmtId="4" fontId="8" fillId="10" borderId="75" xfId="0" applyNumberFormat="1" applyFont="1" applyFill="1" applyBorder="1"/>
    <xf numFmtId="4" fontId="8" fillId="0" borderId="9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95" xfId="0" quotePrefix="1" applyNumberFormat="1" applyFont="1" applyBorder="1" applyAlignment="1">
      <alignment horizontal="center"/>
    </xf>
    <xf numFmtId="4" fontId="2" fillId="6" borderId="23" xfId="0" applyNumberFormat="1" applyFont="1" applyFill="1" applyBorder="1"/>
    <xf numFmtId="4" fontId="8" fillId="6" borderId="11" xfId="0" applyNumberFormat="1" applyFont="1" applyFill="1" applyBorder="1"/>
    <xf numFmtId="4" fontId="2" fillId="6" borderId="11" xfId="0" applyNumberFormat="1" applyFont="1" applyFill="1" applyBorder="1"/>
    <xf numFmtId="4" fontId="8" fillId="10" borderId="83" xfId="0" applyNumberFormat="1" applyFont="1" applyFill="1" applyBorder="1"/>
    <xf numFmtId="4" fontId="10" fillId="0" borderId="96" xfId="0" applyNumberFormat="1" applyFont="1" applyBorder="1" applyAlignment="1">
      <alignment horizontal="center"/>
    </xf>
    <xf numFmtId="1" fontId="8" fillId="0" borderId="94" xfId="0" quotePrefix="1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4" fontId="2" fillId="0" borderId="85" xfId="0" applyNumberFormat="1" applyFont="1" applyBorder="1"/>
    <xf numFmtId="1" fontId="8" fillId="0" borderId="99" xfId="0" quotePrefix="1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4" fontId="2" fillId="0" borderId="91" xfId="0" applyNumberFormat="1" applyFont="1" applyBorder="1" applyAlignment="1">
      <alignment horizontal="right"/>
    </xf>
    <xf numFmtId="4" fontId="2" fillId="0" borderId="17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center"/>
    </xf>
    <xf numFmtId="0" fontId="2" fillId="0" borderId="20" xfId="0" applyFont="1" applyBorder="1"/>
    <xf numFmtId="4" fontId="2" fillId="0" borderId="20" xfId="0" applyNumberFormat="1" applyFont="1" applyBorder="1" applyAlignment="1">
      <alignment horizontal="right"/>
    </xf>
    <xf numFmtId="4" fontId="2" fillId="0" borderId="94" xfId="0" applyNumberFormat="1" applyFont="1" applyBorder="1" applyAlignment="1">
      <alignment horizontal="right"/>
    </xf>
    <xf numFmtId="0" fontId="8" fillId="0" borderId="20" xfId="0" applyFont="1" applyBorder="1"/>
    <xf numFmtId="4" fontId="8" fillId="0" borderId="20" xfId="0" applyNumberFormat="1" applyFont="1" applyBorder="1" applyAlignment="1">
      <alignment horizontal="right"/>
    </xf>
    <xf numFmtId="4" fontId="8" fillId="0" borderId="94" xfId="0" applyNumberFormat="1" applyFont="1" applyBorder="1" applyAlignment="1">
      <alignment horizontal="right"/>
    </xf>
    <xf numFmtId="4" fontId="8" fillId="0" borderId="17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29" xfId="0" applyFont="1" applyBorder="1"/>
    <xf numFmtId="0" fontId="2" fillId="0" borderId="30" xfId="0" applyFont="1" applyBorder="1"/>
    <xf numFmtId="0" fontId="2" fillId="0" borderId="94" xfId="0" applyFont="1" applyBorder="1" applyAlignment="1">
      <alignment horizontal="right"/>
    </xf>
    <xf numFmtId="4" fontId="2" fillId="0" borderId="30" xfId="0" applyNumberFormat="1" applyFont="1" applyBorder="1"/>
    <xf numFmtId="4" fontId="2" fillId="6" borderId="104" xfId="0" applyNumberFormat="1" applyFont="1" applyFill="1" applyBorder="1" applyAlignment="1">
      <alignment horizontal="right"/>
    </xf>
    <xf numFmtId="4" fontId="2" fillId="0" borderId="71" xfId="0" applyNumberFormat="1" applyFont="1" applyBorder="1" applyAlignment="1">
      <alignment horizontal="right"/>
    </xf>
    <xf numFmtId="0" fontId="13" fillId="0" borderId="7" xfId="0" applyFont="1" applyBorder="1" applyAlignment="1">
      <alignment horizontal="center"/>
    </xf>
    <xf numFmtId="0" fontId="13" fillId="0" borderId="8" xfId="0" applyFont="1" applyBorder="1"/>
    <xf numFmtId="4" fontId="13" fillId="0" borderId="97" xfId="0" applyNumberFormat="1" applyFont="1" applyBorder="1"/>
    <xf numFmtId="4" fontId="13" fillId="0" borderId="99" xfId="0" applyNumberFormat="1" applyFont="1" applyBorder="1" applyAlignment="1">
      <alignment horizontal="right"/>
    </xf>
    <xf numFmtId="4" fontId="13" fillId="0" borderId="9" xfId="0" applyNumberFormat="1" applyFont="1" applyBorder="1" applyAlignment="1">
      <alignment horizontal="right"/>
    </xf>
    <xf numFmtId="4" fontId="2" fillId="0" borderId="16" xfId="0" applyNumberFormat="1" applyFont="1" applyBorder="1"/>
    <xf numFmtId="4" fontId="2" fillId="0" borderId="104" xfId="0" applyNumberFormat="1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4" fontId="9" fillId="0" borderId="97" xfId="0" applyNumberFormat="1" applyFont="1" applyBorder="1"/>
    <xf numFmtId="4" fontId="9" fillId="0" borderId="97" xfId="0" applyNumberFormat="1" applyFont="1" applyBorder="1" applyAlignment="1">
      <alignment horizontal="right"/>
    </xf>
    <xf numFmtId="4" fontId="9" fillId="0" borderId="9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0" fontId="24" fillId="0" borderId="7" xfId="0" applyFont="1" applyBorder="1" applyAlignment="1">
      <alignment horizontal="center"/>
    </xf>
    <xf numFmtId="0" fontId="25" fillId="0" borderId="8" xfId="0" applyFont="1" applyBorder="1"/>
    <xf numFmtId="4" fontId="25" fillId="0" borderId="97" xfId="0" applyNumberFormat="1" applyFont="1" applyBorder="1"/>
    <xf numFmtId="4" fontId="25" fillId="0" borderId="97" xfId="0" applyNumberFormat="1" applyFont="1" applyBorder="1" applyAlignment="1">
      <alignment horizontal="right"/>
    </xf>
    <xf numFmtId="4" fontId="25" fillId="6" borderId="99" xfId="0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0" fontId="24" fillId="0" borderId="107" xfId="0" applyFont="1" applyBorder="1" applyAlignment="1">
      <alignment horizontal="center"/>
    </xf>
    <xf numFmtId="0" fontId="25" fillId="0" borderId="108" xfId="0" applyFont="1" applyBorder="1"/>
    <xf numFmtId="4" fontId="25" fillId="0" borderId="108" xfId="0" applyNumberFormat="1" applyFont="1" applyBorder="1"/>
    <xf numFmtId="0" fontId="24" fillId="0" borderId="109" xfId="0" applyFont="1" applyBorder="1" applyAlignment="1">
      <alignment horizontal="center"/>
    </xf>
    <xf numFmtId="0" fontId="24" fillId="0" borderId="99" xfId="0" applyFont="1" applyBorder="1"/>
    <xf numFmtId="4" fontId="24" fillId="0" borderId="99" xfId="0" applyNumberFormat="1" applyFont="1" applyBorder="1"/>
    <xf numFmtId="0" fontId="2" fillId="0" borderId="10" xfId="0" applyFont="1" applyBorder="1"/>
    <xf numFmtId="4" fontId="2" fillId="0" borderId="11" xfId="0" applyNumberFormat="1" applyFont="1" applyBorder="1" applyAlignment="1">
      <alignment horizontal="center"/>
    </xf>
    <xf numFmtId="0" fontId="2" fillId="0" borderId="70" xfId="0" applyFont="1" applyBorder="1"/>
    <xf numFmtId="4" fontId="2" fillId="0" borderId="30" xfId="0" applyNumberFormat="1" applyFont="1" applyBorder="1" applyAlignment="1">
      <alignment horizontal="right"/>
    </xf>
    <xf numFmtId="4" fontId="2" fillId="0" borderId="71" xfId="0" applyNumberFormat="1" applyFont="1" applyBorder="1" applyAlignment="1">
      <alignment horizontal="center"/>
    </xf>
    <xf numFmtId="0" fontId="2" fillId="0" borderId="7" xfId="0" applyFont="1" applyBorder="1"/>
    <xf numFmtId="4" fontId="8" fillId="0" borderId="97" xfId="0" applyNumberFormat="1" applyFont="1" applyBorder="1" applyAlignment="1">
      <alignment horizontal="right"/>
    </xf>
    <xf numFmtId="4" fontId="26" fillId="0" borderId="0" xfId="0" applyNumberFormat="1" applyFont="1"/>
    <xf numFmtId="0" fontId="2" fillId="0" borderId="0" xfId="2" applyFont="1"/>
    <xf numFmtId="4" fontId="2" fillId="0" borderId="0" xfId="2" applyNumberFormat="1" applyFont="1" applyAlignment="1">
      <alignment horizontal="right"/>
    </xf>
    <xf numFmtId="4" fontId="2" fillId="0" borderId="0" xfId="2" applyNumberFormat="1" applyFont="1"/>
    <xf numFmtId="3" fontId="7" fillId="0" borderId="0" xfId="2" applyNumberFormat="1" applyFont="1"/>
    <xf numFmtId="3" fontId="4" fillId="0" borderId="0" xfId="2" applyNumberFormat="1" applyFont="1"/>
    <xf numFmtId="3" fontId="2" fillId="0" borderId="0" xfId="2" applyNumberFormat="1" applyFont="1"/>
    <xf numFmtId="3" fontId="5" fillId="0" borderId="0" xfId="2" applyNumberFormat="1" applyFont="1"/>
    <xf numFmtId="3" fontId="8" fillId="2" borderId="0" xfId="2" applyNumberFormat="1" applyFont="1" applyFill="1"/>
    <xf numFmtId="4" fontId="8" fillId="2" borderId="0" xfId="2" applyNumberFormat="1" applyFont="1" applyFill="1" applyAlignment="1">
      <alignment horizontal="right"/>
    </xf>
    <xf numFmtId="0" fontId="8" fillId="14" borderId="0" xfId="2" applyFont="1" applyFill="1"/>
    <xf numFmtId="4" fontId="8" fillId="14" borderId="0" xfId="2" applyNumberFormat="1" applyFont="1" applyFill="1" applyAlignment="1">
      <alignment horizontal="right"/>
    </xf>
    <xf numFmtId="0" fontId="8" fillId="4" borderId="0" xfId="2" applyFont="1" applyFill="1"/>
    <xf numFmtId="4" fontId="8" fillId="4" borderId="0" xfId="2" applyNumberFormat="1" applyFont="1" applyFill="1" applyAlignment="1">
      <alignment horizontal="right"/>
    </xf>
    <xf numFmtId="4" fontId="2" fillId="0" borderId="0" xfId="2" applyNumberFormat="1" applyFont="1" applyAlignment="1">
      <alignment horizontal="left"/>
    </xf>
    <xf numFmtId="3" fontId="7" fillId="0" borderId="0" xfId="2" applyNumberFormat="1" applyFont="1" applyAlignment="1">
      <alignment horizontal="left"/>
    </xf>
    <xf numFmtId="0" fontId="8" fillId="0" borderId="0" xfId="2" applyFont="1" applyAlignment="1">
      <alignment horizontal="center"/>
    </xf>
    <xf numFmtId="4" fontId="8" fillId="0" borderId="0" xfId="2" applyNumberFormat="1" applyFont="1" applyAlignment="1">
      <alignment horizontal="right"/>
    </xf>
    <xf numFmtId="0" fontId="8" fillId="0" borderId="113" xfId="2" applyFont="1" applyBorder="1" applyAlignment="1">
      <alignment horizontal="center"/>
    </xf>
    <xf numFmtId="0" fontId="8" fillId="0" borderId="114" xfId="2" applyFont="1" applyBorder="1" applyAlignment="1">
      <alignment horizontal="center" wrapText="1"/>
    </xf>
    <xf numFmtId="4" fontId="8" fillId="0" borderId="114" xfId="2" applyNumberFormat="1" applyFont="1" applyBorder="1" applyAlignment="1">
      <alignment horizontal="right" wrapText="1"/>
    </xf>
    <xf numFmtId="0" fontId="8" fillId="0" borderId="115" xfId="2" applyFont="1" applyBorder="1" applyAlignment="1">
      <alignment horizontal="center"/>
    </xf>
    <xf numFmtId="4" fontId="2" fillId="0" borderId="108" xfId="2" applyNumberFormat="1" applyFont="1" applyBorder="1"/>
    <xf numFmtId="4" fontId="8" fillId="0" borderId="116" xfId="2" applyNumberFormat="1" applyFont="1" applyBorder="1" applyAlignment="1">
      <alignment horizontal="center"/>
    </xf>
    <xf numFmtId="0" fontId="8" fillId="0" borderId="89" xfId="2" quotePrefix="1" applyFont="1" applyBorder="1" applyAlignment="1">
      <alignment horizontal="center" vertical="justify" wrapText="1"/>
    </xf>
    <xf numFmtId="0" fontId="8" fillId="0" borderId="117" xfId="2" applyFont="1" applyBorder="1" applyAlignment="1">
      <alignment horizontal="center" vertical="center" wrapText="1"/>
    </xf>
    <xf numFmtId="4" fontId="8" fillId="0" borderId="117" xfId="2" applyNumberFormat="1" applyFont="1" applyBorder="1" applyAlignment="1">
      <alignment horizontal="center" vertical="center" wrapText="1"/>
    </xf>
    <xf numFmtId="3" fontId="32" fillId="0" borderId="117" xfId="2" applyNumberFormat="1" applyFont="1" applyBorder="1" applyAlignment="1">
      <alignment horizontal="center" vertical="center" wrapText="1"/>
    </xf>
    <xf numFmtId="4" fontId="8" fillId="0" borderId="118" xfId="2" applyNumberFormat="1" applyFont="1" applyBorder="1" applyAlignment="1">
      <alignment horizontal="center" vertical="center" wrapText="1"/>
    </xf>
    <xf numFmtId="3" fontId="9" fillId="0" borderId="118" xfId="2" applyNumberFormat="1" applyFont="1" applyBorder="1" applyAlignment="1">
      <alignment horizontal="center" vertical="center" wrapText="1"/>
    </xf>
    <xf numFmtId="3" fontId="11" fillId="15" borderId="118" xfId="2" applyNumberFormat="1" applyFont="1" applyFill="1" applyBorder="1" applyAlignment="1">
      <alignment horizontal="center" vertical="center" wrapText="1"/>
    </xf>
    <xf numFmtId="3" fontId="8" fillId="0" borderId="118" xfId="2" applyNumberFormat="1" applyFont="1" applyBorder="1" applyAlignment="1">
      <alignment horizontal="center" vertical="center" wrapText="1"/>
    </xf>
    <xf numFmtId="3" fontId="19" fillId="0" borderId="118" xfId="2" applyNumberFormat="1" applyFont="1" applyBorder="1" applyAlignment="1">
      <alignment horizontal="center" vertical="center" wrapText="1"/>
    </xf>
    <xf numFmtId="3" fontId="14" fillId="0" borderId="118" xfId="2" applyNumberFormat="1" applyFont="1" applyBorder="1" applyAlignment="1">
      <alignment horizontal="center" vertical="center" wrapText="1"/>
    </xf>
    <xf numFmtId="3" fontId="14" fillId="0" borderId="119" xfId="2" applyNumberFormat="1" applyFont="1" applyBorder="1" applyAlignment="1">
      <alignment horizontal="center" vertical="center" wrapText="1"/>
    </xf>
    <xf numFmtId="3" fontId="8" fillId="0" borderId="120" xfId="2" applyNumberFormat="1" applyFont="1" applyBorder="1" applyAlignment="1">
      <alignment horizontal="center" vertical="center" wrapText="1"/>
    </xf>
    <xf numFmtId="3" fontId="8" fillId="0" borderId="121" xfId="2" applyNumberFormat="1" applyFont="1" applyBorder="1" applyAlignment="1">
      <alignment horizontal="center" vertical="center" wrapText="1"/>
    </xf>
    <xf numFmtId="0" fontId="8" fillId="0" borderId="76" xfId="2" applyFont="1" applyBorder="1" applyAlignment="1">
      <alignment horizontal="center"/>
    </xf>
    <xf numFmtId="0" fontId="8" fillId="0" borderId="77" xfId="2" applyFont="1" applyBorder="1" applyAlignment="1">
      <alignment horizontal="center" wrapText="1"/>
    </xf>
    <xf numFmtId="0" fontId="8" fillId="0" borderId="77" xfId="2" quotePrefix="1" applyFont="1" applyBorder="1" applyAlignment="1">
      <alignment horizontal="center" wrapText="1"/>
    </xf>
    <xf numFmtId="0" fontId="10" fillId="0" borderId="77" xfId="2" quotePrefix="1" applyFont="1" applyBorder="1" applyAlignment="1">
      <alignment horizontal="center" wrapText="1"/>
    </xf>
    <xf numFmtId="0" fontId="8" fillId="0" borderId="77" xfId="2" quotePrefix="1" applyFont="1" applyBorder="1" applyAlignment="1">
      <alignment horizontal="center"/>
    </xf>
    <xf numFmtId="0" fontId="8" fillId="0" borderId="122" xfId="2" quotePrefix="1" applyFont="1" applyBorder="1" applyAlignment="1">
      <alignment horizontal="center"/>
    </xf>
    <xf numFmtId="3" fontId="11" fillId="0" borderId="124" xfId="2" quotePrefix="1" applyNumberFormat="1" applyFont="1" applyBorder="1" applyAlignment="1">
      <alignment horizontal="center"/>
    </xf>
    <xf numFmtId="3" fontId="8" fillId="0" borderId="85" xfId="2" quotePrefix="1" applyNumberFormat="1" applyFont="1" applyBorder="1" applyAlignment="1">
      <alignment horizontal="center"/>
    </xf>
    <xf numFmtId="3" fontId="9" fillId="0" borderId="99" xfId="2" quotePrefix="1" applyNumberFormat="1" applyFont="1" applyBorder="1" applyAlignment="1">
      <alignment horizontal="center"/>
    </xf>
    <xf numFmtId="3" fontId="19" fillId="0" borderId="85" xfId="2" quotePrefix="1" applyNumberFormat="1" applyFont="1" applyBorder="1" applyAlignment="1">
      <alignment horizontal="center"/>
    </xf>
    <xf numFmtId="3" fontId="14" fillId="0" borderId="85" xfId="2" quotePrefix="1" applyNumberFormat="1" applyFont="1" applyBorder="1" applyAlignment="1">
      <alignment horizontal="center"/>
    </xf>
    <xf numFmtId="3" fontId="14" fillId="0" borderId="122" xfId="2" quotePrefix="1" applyNumberFormat="1" applyFont="1" applyBorder="1" applyAlignment="1">
      <alignment horizontal="center"/>
    </xf>
    <xf numFmtId="3" fontId="8" fillId="0" borderId="84" xfId="2" quotePrefix="1" applyNumberFormat="1" applyFont="1" applyBorder="1" applyAlignment="1">
      <alignment horizontal="center"/>
    </xf>
    <xf numFmtId="3" fontId="8" fillId="0" borderId="123" xfId="2" quotePrefix="1" applyNumberFormat="1" applyFont="1" applyBorder="1" applyAlignment="1">
      <alignment horizontal="center"/>
    </xf>
    <xf numFmtId="0" fontId="2" fillId="0" borderId="125" xfId="2" applyFont="1" applyBorder="1" applyAlignment="1">
      <alignment horizontal="center"/>
    </xf>
    <xf numFmtId="0" fontId="2" fillId="0" borderId="126" xfId="2" applyFont="1" applyBorder="1" applyAlignment="1">
      <alignment wrapText="1"/>
    </xf>
    <xf numFmtId="4" fontId="2" fillId="0" borderId="127" xfId="2" applyNumberFormat="1" applyFont="1" applyBorder="1"/>
    <xf numFmtId="4" fontId="2" fillId="0" borderId="128" xfId="2" applyNumberFormat="1" applyFont="1" applyBorder="1"/>
    <xf numFmtId="4" fontId="2" fillId="0" borderId="127" xfId="2" applyNumberFormat="1" applyFont="1" applyBorder="1" applyAlignment="1">
      <alignment horizontal="right" wrapText="1"/>
    </xf>
    <xf numFmtId="4" fontId="2" fillId="6" borderId="115" xfId="0" applyNumberFormat="1" applyFont="1" applyFill="1" applyBorder="1"/>
    <xf numFmtId="3" fontId="4" fillId="0" borderId="41" xfId="2" applyNumberFormat="1" applyFont="1" applyBorder="1"/>
    <xf numFmtId="3" fontId="2" fillId="0" borderId="127" xfId="2" applyNumberFormat="1" applyFont="1" applyBorder="1"/>
    <xf numFmtId="3" fontId="31" fillId="0" borderId="129" xfId="2" applyNumberFormat="1" applyFont="1" applyBorder="1"/>
    <xf numFmtId="3" fontId="5" fillId="0" borderId="127" xfId="2" applyNumberFormat="1" applyFont="1" applyBorder="1"/>
    <xf numFmtId="3" fontId="2" fillId="0" borderId="130" xfId="2" applyNumberFormat="1" applyFont="1" applyBorder="1"/>
    <xf numFmtId="3" fontId="2" fillId="0" borderId="131" xfId="2" applyNumberFormat="1" applyFont="1" applyBorder="1"/>
    <xf numFmtId="0" fontId="17" fillId="0" borderId="132" xfId="2" applyFont="1" applyBorder="1" applyAlignment="1">
      <alignment horizontal="center"/>
    </xf>
    <xf numFmtId="0" fontId="17" fillId="0" borderId="132" xfId="2" applyFont="1" applyBorder="1" applyAlignment="1">
      <alignment wrapText="1"/>
    </xf>
    <xf numFmtId="4" fontId="17" fillId="0" borderId="133" xfId="2" applyNumberFormat="1" applyFont="1" applyBorder="1"/>
    <xf numFmtId="4" fontId="17" fillId="0" borderId="134" xfId="2" applyNumberFormat="1" applyFont="1" applyBorder="1"/>
    <xf numFmtId="4" fontId="17" fillId="0" borderId="133" xfId="2" applyNumberFormat="1" applyFont="1" applyBorder="1" applyAlignment="1">
      <alignment horizontal="right" wrapText="1"/>
    </xf>
    <xf numFmtId="4" fontId="17" fillId="6" borderId="135" xfId="0" applyNumberFormat="1" applyFont="1" applyFill="1" applyBorder="1"/>
    <xf numFmtId="3" fontId="11" fillId="0" borderId="24" xfId="2" applyNumberFormat="1" applyFont="1" applyBorder="1"/>
    <xf numFmtId="3" fontId="8" fillId="0" borderId="133" xfId="2" applyNumberFormat="1" applyFont="1" applyBorder="1"/>
    <xf numFmtId="3" fontId="9" fillId="0" borderId="137" xfId="2" applyNumberFormat="1" applyFont="1" applyBorder="1"/>
    <xf numFmtId="3" fontId="19" fillId="0" borderId="133" xfId="2" applyNumberFormat="1" applyFont="1" applyBorder="1"/>
    <xf numFmtId="3" fontId="17" fillId="0" borderId="133" xfId="2" applyNumberFormat="1" applyFont="1" applyBorder="1"/>
    <xf numFmtId="3" fontId="17" fillId="0" borderId="135" xfId="2" applyNumberFormat="1" applyFont="1" applyBorder="1"/>
    <xf numFmtId="3" fontId="8" fillId="0" borderId="136" xfId="2" applyNumberFormat="1" applyFont="1" applyBorder="1"/>
    <xf numFmtId="3" fontId="8" fillId="0" borderId="138" xfId="2" applyNumberFormat="1" applyFont="1" applyBorder="1"/>
    <xf numFmtId="0" fontId="2" fillId="0" borderId="132" xfId="2" applyFont="1" applyBorder="1" applyAlignment="1">
      <alignment horizontal="center"/>
    </xf>
    <xf numFmtId="0" fontId="2" fillId="0" borderId="136" xfId="2" applyFont="1" applyBorder="1" applyAlignment="1">
      <alignment wrapText="1"/>
    </xf>
    <xf numFmtId="4" fontId="2" fillId="0" borderId="133" xfId="2" applyNumberFormat="1" applyFont="1" applyBorder="1"/>
    <xf numFmtId="4" fontId="2" fillId="0" borderId="134" xfId="2" applyNumberFormat="1" applyFont="1" applyBorder="1"/>
    <xf numFmtId="4" fontId="2" fillId="0" borderId="133" xfId="2" applyNumberFormat="1" applyFont="1" applyBorder="1" applyAlignment="1">
      <alignment horizontal="right" wrapText="1"/>
    </xf>
    <xf numFmtId="4" fontId="2" fillId="6" borderId="135" xfId="0" applyNumberFormat="1" applyFont="1" applyFill="1" applyBorder="1"/>
    <xf numFmtId="3" fontId="4" fillId="0" borderId="24" xfId="2" applyNumberFormat="1" applyFont="1" applyBorder="1"/>
    <xf numFmtId="3" fontId="2" fillId="0" borderId="133" xfId="2" applyNumberFormat="1" applyFont="1" applyBorder="1"/>
    <xf numFmtId="3" fontId="31" fillId="0" borderId="137" xfId="2" applyNumberFormat="1" applyFont="1" applyBorder="1"/>
    <xf numFmtId="3" fontId="5" fillId="0" borderId="133" xfId="2" applyNumberFormat="1" applyFont="1" applyBorder="1"/>
    <xf numFmtId="3" fontId="2" fillId="0" borderId="135" xfId="2" applyNumberFormat="1" applyFont="1" applyBorder="1"/>
    <xf numFmtId="3" fontId="2" fillId="0" borderId="136" xfId="2" applyNumberFormat="1" applyFont="1" applyBorder="1"/>
    <xf numFmtId="3" fontId="2" fillId="0" borderId="138" xfId="2" applyNumberFormat="1" applyFont="1" applyBorder="1"/>
    <xf numFmtId="0" fontId="2" fillId="0" borderId="136" xfId="2" applyFont="1" applyBorder="1" applyAlignment="1">
      <alignment horizontal="left" wrapText="1"/>
    </xf>
    <xf numFmtId="3" fontId="14" fillId="0" borderId="133" xfId="2" applyNumberFormat="1" applyFont="1" applyBorder="1"/>
    <xf numFmtId="3" fontId="14" fillId="0" borderId="135" xfId="2" applyNumberFormat="1" applyFont="1" applyBorder="1"/>
    <xf numFmtId="3" fontId="6" fillId="0" borderId="133" xfId="2" applyNumberFormat="1" applyFont="1" applyBorder="1"/>
    <xf numFmtId="3" fontId="6" fillId="0" borderId="135" xfId="2" applyNumberFormat="1" applyFont="1" applyBorder="1"/>
    <xf numFmtId="0" fontId="17" fillId="0" borderId="139" xfId="2" applyFont="1" applyBorder="1" applyAlignment="1">
      <alignment horizontal="center"/>
    </xf>
    <xf numFmtId="0" fontId="17" fillId="0" borderId="139" xfId="2" applyFont="1" applyBorder="1" applyAlignment="1">
      <alignment wrapText="1"/>
    </xf>
    <xf numFmtId="4" fontId="17" fillId="0" borderId="118" xfId="2" applyNumberFormat="1" applyFont="1" applyBorder="1"/>
    <xf numFmtId="4" fontId="17" fillId="0" borderId="140" xfId="2" applyNumberFormat="1" applyFont="1" applyBorder="1"/>
    <xf numFmtId="4" fontId="17" fillId="0" borderId="118" xfId="2" applyNumberFormat="1" applyFont="1" applyBorder="1" applyAlignment="1">
      <alignment horizontal="right" wrapText="1"/>
    </xf>
    <xf numFmtId="4" fontId="17" fillId="6" borderId="141" xfId="0" applyNumberFormat="1" applyFont="1" applyFill="1" applyBorder="1"/>
    <xf numFmtId="3" fontId="11" fillId="0" borderId="31" xfId="2" applyNumberFormat="1" applyFont="1" applyBorder="1"/>
    <xf numFmtId="3" fontId="8" fillId="0" borderId="118" xfId="2" applyNumberFormat="1" applyFont="1" applyBorder="1"/>
    <xf numFmtId="3" fontId="9" fillId="0" borderId="142" xfId="2" applyNumberFormat="1" applyFont="1" applyBorder="1"/>
    <xf numFmtId="3" fontId="19" fillId="0" borderId="118" xfId="2" applyNumberFormat="1" applyFont="1" applyBorder="1"/>
    <xf numFmtId="3" fontId="14" fillId="0" borderId="118" xfId="2" applyNumberFormat="1" applyFont="1" applyBorder="1"/>
    <xf numFmtId="3" fontId="14" fillId="0" borderId="119" xfId="2" applyNumberFormat="1" applyFont="1" applyBorder="1"/>
    <xf numFmtId="3" fontId="8" fillId="0" borderId="120" xfId="2" applyNumberFormat="1" applyFont="1" applyBorder="1"/>
    <xf numFmtId="0" fontId="17" fillId="0" borderId="109" xfId="2" applyFont="1" applyBorder="1"/>
    <xf numFmtId="4" fontId="17" fillId="0" borderId="99" xfId="2" applyNumberFormat="1" applyFont="1" applyBorder="1"/>
    <xf numFmtId="4" fontId="17" fillId="0" borderId="85" xfId="2" applyNumberFormat="1" applyFont="1" applyBorder="1" applyAlignment="1">
      <alignment horizontal="right"/>
    </xf>
    <xf numFmtId="4" fontId="17" fillId="6" borderId="85" xfId="2" applyNumberFormat="1" applyFont="1" applyFill="1" applyBorder="1"/>
    <xf numFmtId="4" fontId="17" fillId="0" borderId="85" xfId="2" applyNumberFormat="1" applyFont="1" applyBorder="1"/>
    <xf numFmtId="4" fontId="17" fillId="0" borderId="98" xfId="2" applyNumberFormat="1" applyFont="1" applyBorder="1"/>
    <xf numFmtId="4" fontId="17" fillId="6" borderId="122" xfId="0" applyNumberFormat="1" applyFont="1" applyFill="1" applyBorder="1"/>
    <xf numFmtId="3" fontId="11" fillId="0" borderId="124" xfId="2" applyNumberFormat="1" applyFont="1" applyBorder="1"/>
    <xf numFmtId="3" fontId="8" fillId="6" borderId="85" xfId="2" applyNumberFormat="1" applyFont="1" applyFill="1" applyBorder="1"/>
    <xf numFmtId="3" fontId="9" fillId="0" borderId="124" xfId="2" applyNumberFormat="1" applyFont="1" applyBorder="1"/>
    <xf numFmtId="3" fontId="19" fillId="0" borderId="85" xfId="2" applyNumberFormat="1" applyFont="1" applyBorder="1"/>
    <xf numFmtId="3" fontId="14" fillId="0" borderId="85" xfId="2" applyNumberFormat="1" applyFont="1" applyBorder="1"/>
    <xf numFmtId="3" fontId="14" fillId="0" borderId="122" xfId="2" applyNumberFormat="1" applyFont="1" applyBorder="1"/>
    <xf numFmtId="3" fontId="6" fillId="0" borderId="127" xfId="2" applyNumberFormat="1" applyFont="1" applyBorder="1"/>
    <xf numFmtId="3" fontId="6" fillId="0" borderId="130" xfId="2" applyNumberFormat="1" applyFont="1" applyBorder="1"/>
    <xf numFmtId="0" fontId="17" fillId="0" borderId="132" xfId="2" applyFont="1" applyBorder="1" applyAlignment="1">
      <alignment horizontal="left" wrapText="1"/>
    </xf>
    <xf numFmtId="1" fontId="2" fillId="0" borderId="132" xfId="2" quotePrefix="1" applyNumberFormat="1" applyFont="1" applyBorder="1" applyAlignment="1">
      <alignment horizontal="center"/>
    </xf>
    <xf numFmtId="1" fontId="17" fillId="0" borderId="139" xfId="2" quotePrefix="1" applyNumberFormat="1" applyFont="1" applyBorder="1" applyAlignment="1">
      <alignment horizontal="center"/>
    </xf>
    <xf numFmtId="3" fontId="8" fillId="0" borderId="143" xfId="2" applyNumberFormat="1" applyFont="1" applyBorder="1"/>
    <xf numFmtId="3" fontId="8" fillId="0" borderId="121" xfId="2" applyNumberFormat="1" applyFont="1" applyBorder="1"/>
    <xf numFmtId="1" fontId="17" fillId="0" borderId="109" xfId="2" quotePrefix="1" applyNumberFormat="1" applyFont="1" applyBorder="1" applyAlignment="1">
      <alignment horizontal="center"/>
    </xf>
    <xf numFmtId="0" fontId="17" fillId="0" borderId="109" xfId="2" applyFont="1" applyBorder="1" applyAlignment="1">
      <alignment wrapText="1"/>
    </xf>
    <xf numFmtId="4" fontId="17" fillId="0" borderId="85" xfId="2" applyNumberFormat="1" applyFont="1" applyBorder="1" applyAlignment="1">
      <alignment horizontal="right" wrapText="1"/>
    </xf>
    <xf numFmtId="4" fontId="17" fillId="8" borderId="85" xfId="2" applyNumberFormat="1" applyFont="1" applyFill="1" applyBorder="1"/>
    <xf numFmtId="3" fontId="8" fillId="0" borderId="85" xfId="2" applyNumberFormat="1" applyFont="1" applyBorder="1"/>
    <xf numFmtId="3" fontId="9" fillId="0" borderId="99" xfId="2" applyNumberFormat="1" applyFont="1" applyBorder="1"/>
    <xf numFmtId="3" fontId="8" fillId="0" borderId="84" xfId="2" applyNumberFormat="1" applyFont="1" applyBorder="1"/>
    <xf numFmtId="1" fontId="2" fillId="0" borderId="125" xfId="2" quotePrefix="1" applyNumberFormat="1" applyFont="1" applyBorder="1" applyAlignment="1">
      <alignment horizontal="center"/>
    </xf>
    <xf numFmtId="4" fontId="2" fillId="0" borderId="144" xfId="2" applyNumberFormat="1" applyFont="1" applyBorder="1"/>
    <xf numFmtId="4" fontId="2" fillId="6" borderId="145" xfId="0" applyNumberFormat="1" applyFont="1" applyFill="1" applyBorder="1"/>
    <xf numFmtId="3" fontId="4" fillId="0" borderId="146" xfId="2" applyNumberFormat="1" applyFont="1" applyBorder="1"/>
    <xf numFmtId="3" fontId="2" fillId="0" borderId="143" xfId="2" applyNumberFormat="1" applyFont="1" applyBorder="1"/>
    <xf numFmtId="1" fontId="18" fillId="0" borderId="139" xfId="2" quotePrefix="1" applyNumberFormat="1" applyFont="1" applyBorder="1" applyAlignment="1">
      <alignment horizontal="center"/>
    </xf>
    <xf numFmtId="0" fontId="18" fillId="0" borderId="139" xfId="2" applyFont="1" applyBorder="1" applyAlignment="1">
      <alignment wrapText="1"/>
    </xf>
    <xf numFmtId="3" fontId="2" fillId="0" borderId="114" xfId="2" applyNumberFormat="1" applyFont="1" applyBorder="1"/>
    <xf numFmtId="3" fontId="31" fillId="0" borderId="134" xfId="2" applyNumberFormat="1" applyFont="1" applyBorder="1"/>
    <xf numFmtId="4" fontId="8" fillId="0" borderId="117" xfId="2" applyNumberFormat="1" applyFont="1" applyBorder="1"/>
    <xf numFmtId="4" fontId="8" fillId="0" borderId="118" xfId="2" applyNumberFormat="1" applyFont="1" applyBorder="1" applyAlignment="1">
      <alignment horizontal="right" wrapText="1"/>
    </xf>
    <xf numFmtId="4" fontId="2" fillId="8" borderId="117" xfId="2" applyNumberFormat="1" applyFont="1" applyFill="1" applyBorder="1"/>
    <xf numFmtId="4" fontId="2" fillId="0" borderId="117" xfId="2" applyNumberFormat="1" applyFont="1" applyBorder="1"/>
    <xf numFmtId="4" fontId="2" fillId="0" borderId="147" xfId="2" applyNumberFormat="1" applyFont="1" applyBorder="1"/>
    <xf numFmtId="4" fontId="2" fillId="6" borderId="141" xfId="0" applyNumberFormat="1" applyFont="1" applyFill="1" applyBorder="1"/>
    <xf numFmtId="3" fontId="2" fillId="6" borderId="117" xfId="2" applyNumberFormat="1" applyFont="1" applyFill="1" applyBorder="1"/>
    <xf numFmtId="3" fontId="2" fillId="0" borderId="117" xfId="2" applyNumberFormat="1" applyFont="1" applyBorder="1"/>
    <xf numFmtId="3" fontId="31" fillId="0" borderId="147" xfId="2" applyNumberFormat="1" applyFont="1" applyBorder="1"/>
    <xf numFmtId="3" fontId="5" fillId="0" borderId="117" xfId="2" applyNumberFormat="1" applyFont="1" applyBorder="1"/>
    <xf numFmtId="3" fontId="6" fillId="0" borderId="117" xfId="2" applyNumberFormat="1" applyFont="1" applyBorder="1"/>
    <xf numFmtId="3" fontId="6" fillId="0" borderId="141" xfId="2" applyNumberFormat="1" applyFont="1" applyBorder="1"/>
    <xf numFmtId="3" fontId="2" fillId="0" borderId="89" xfId="2" applyNumberFormat="1" applyFont="1" applyBorder="1"/>
    <xf numFmtId="3" fontId="2" fillId="0" borderId="148" xfId="2" applyNumberFormat="1" applyFont="1" applyBorder="1"/>
    <xf numFmtId="0" fontId="8" fillId="16" borderId="109" xfId="2" applyFont="1" applyFill="1" applyBorder="1" applyAlignment="1">
      <alignment horizontal="center"/>
    </xf>
    <xf numFmtId="0" fontId="8" fillId="16" borderId="84" xfId="2" applyFont="1" applyFill="1" applyBorder="1" applyAlignment="1">
      <alignment wrapText="1"/>
    </xf>
    <xf numFmtId="4" fontId="8" fillId="16" borderId="85" xfId="2" applyNumberFormat="1" applyFont="1" applyFill="1" applyBorder="1"/>
    <xf numFmtId="4" fontId="8" fillId="16" borderId="98" xfId="2" applyNumberFormat="1" applyFont="1" applyFill="1" applyBorder="1"/>
    <xf numFmtId="4" fontId="8" fillId="16" borderId="85" xfId="2" applyNumberFormat="1" applyFont="1" applyFill="1" applyBorder="1" applyAlignment="1">
      <alignment horizontal="right" wrapText="1"/>
    </xf>
    <xf numFmtId="4" fontId="8" fillId="3" borderId="85" xfId="2" applyNumberFormat="1" applyFont="1" applyFill="1" applyBorder="1"/>
    <xf numFmtId="4" fontId="8" fillId="16" borderId="149" xfId="2" applyNumberFormat="1" applyFont="1" applyFill="1" applyBorder="1"/>
    <xf numFmtId="3" fontId="8" fillId="9" borderId="143" xfId="2" applyNumberFormat="1" applyFont="1" applyFill="1" applyBorder="1"/>
    <xf numFmtId="3" fontId="8" fillId="16" borderId="85" xfId="2" applyNumberFormat="1" applyFont="1" applyFill="1" applyBorder="1"/>
    <xf numFmtId="3" fontId="9" fillId="16" borderId="99" xfId="2" applyNumberFormat="1" applyFont="1" applyFill="1" applyBorder="1"/>
    <xf numFmtId="3" fontId="19" fillId="16" borderId="85" xfId="2" applyNumberFormat="1" applyFont="1" applyFill="1" applyBorder="1"/>
    <xf numFmtId="3" fontId="14" fillId="16" borderId="85" xfId="2" applyNumberFormat="1" applyFont="1" applyFill="1" applyBorder="1"/>
    <xf numFmtId="3" fontId="14" fillId="16" borderId="122" xfId="2" applyNumberFormat="1" applyFont="1" applyFill="1" applyBorder="1"/>
    <xf numFmtId="3" fontId="8" fillId="16" borderId="84" xfId="2" applyNumberFormat="1" applyFont="1" applyFill="1" applyBorder="1"/>
    <xf numFmtId="3" fontId="8" fillId="16" borderId="123" xfId="2" applyNumberFormat="1" applyFont="1" applyFill="1" applyBorder="1"/>
    <xf numFmtId="3" fontId="31" fillId="0" borderId="0" xfId="2" applyNumberFormat="1" applyFont="1"/>
    <xf numFmtId="3" fontId="2" fillId="0" borderId="88" xfId="2" applyNumberFormat="1" applyFont="1" applyBorder="1"/>
    <xf numFmtId="3" fontId="2" fillId="0" borderId="151" xfId="2" applyNumberFormat="1" applyFont="1" applyBorder="1"/>
    <xf numFmtId="0" fontId="2" fillId="0" borderId="132" xfId="2" applyFont="1" applyBorder="1" applyAlignment="1">
      <alignment wrapText="1"/>
    </xf>
    <xf numFmtId="4" fontId="2" fillId="0" borderId="118" xfId="2" applyNumberFormat="1" applyFont="1" applyBorder="1"/>
    <xf numFmtId="4" fontId="2" fillId="0" borderId="140" xfId="2" applyNumberFormat="1" applyFont="1" applyBorder="1"/>
    <xf numFmtId="3" fontId="4" fillId="0" borderId="31" xfId="2" applyNumberFormat="1" applyFont="1" applyBorder="1"/>
    <xf numFmtId="3" fontId="2" fillId="0" borderId="118" xfId="2" applyNumberFormat="1" applyFont="1" applyBorder="1"/>
    <xf numFmtId="3" fontId="31" fillId="0" borderId="142" xfId="2" applyNumberFormat="1" applyFont="1" applyBorder="1"/>
    <xf numFmtId="3" fontId="5" fillId="0" borderId="118" xfId="2" applyNumberFormat="1" applyFont="1" applyBorder="1"/>
    <xf numFmtId="3" fontId="6" fillId="0" borderId="118" xfId="2" applyNumberFormat="1" applyFont="1" applyBorder="1"/>
    <xf numFmtId="4" fontId="2" fillId="6" borderId="133" xfId="2" applyNumberFormat="1" applyFont="1" applyFill="1" applyBorder="1"/>
    <xf numFmtId="3" fontId="6" fillId="0" borderId="119" xfId="2" applyNumberFormat="1" applyFont="1" applyBorder="1"/>
    <xf numFmtId="0" fontId="8" fillId="12" borderId="132" xfId="2" applyFont="1" applyFill="1" applyBorder="1" applyAlignment="1">
      <alignment horizontal="center"/>
    </xf>
    <xf numFmtId="0" fontId="8" fillId="12" borderId="132" xfId="2" applyFont="1" applyFill="1" applyBorder="1" applyAlignment="1">
      <alignment wrapText="1"/>
    </xf>
    <xf numFmtId="4" fontId="8" fillId="12" borderId="118" xfId="2" applyNumberFormat="1" applyFont="1" applyFill="1" applyBorder="1"/>
    <xf numFmtId="4" fontId="8" fillId="12" borderId="140" xfId="2" applyNumberFormat="1" applyFont="1" applyFill="1" applyBorder="1"/>
    <xf numFmtId="4" fontId="8" fillId="12" borderId="119" xfId="0" applyNumberFormat="1" applyFont="1" applyFill="1" applyBorder="1"/>
    <xf numFmtId="3" fontId="11" fillId="12" borderId="31" xfId="2" applyNumberFormat="1" applyFont="1" applyFill="1" applyBorder="1"/>
    <xf numFmtId="3" fontId="8" fillId="12" borderId="133" xfId="2" applyNumberFormat="1" applyFont="1" applyFill="1" applyBorder="1"/>
    <xf numFmtId="3" fontId="8" fillId="12" borderId="118" xfId="2" applyNumberFormat="1" applyFont="1" applyFill="1" applyBorder="1"/>
    <xf numFmtId="3" fontId="9" fillId="12" borderId="142" xfId="2" applyNumberFormat="1" applyFont="1" applyFill="1" applyBorder="1"/>
    <xf numFmtId="3" fontId="19" fillId="12" borderId="118" xfId="2" applyNumberFormat="1" applyFont="1" applyFill="1" applyBorder="1"/>
    <xf numFmtId="3" fontId="14" fillId="12" borderId="118" xfId="2" applyNumberFormat="1" applyFont="1" applyFill="1" applyBorder="1"/>
    <xf numFmtId="3" fontId="14" fillId="12" borderId="119" xfId="2" applyNumberFormat="1" applyFont="1" applyFill="1" applyBorder="1"/>
    <xf numFmtId="3" fontId="8" fillId="12" borderId="120" xfId="2" applyNumberFormat="1" applyFont="1" applyFill="1" applyBorder="1"/>
    <xf numFmtId="3" fontId="8" fillId="12" borderId="121" xfId="2" applyNumberFormat="1" applyFont="1" applyFill="1" applyBorder="1"/>
    <xf numFmtId="1" fontId="2" fillId="11" borderId="152" xfId="2" quotePrefix="1" applyNumberFormat="1" applyFont="1" applyFill="1" applyBorder="1" applyAlignment="1">
      <alignment horizontal="center"/>
    </xf>
    <xf numFmtId="0" fontId="8" fillId="11" borderId="89" xfId="2" applyFont="1" applyFill="1" applyBorder="1" applyAlignment="1">
      <alignment wrapText="1"/>
    </xf>
    <xf numFmtId="4" fontId="8" fillId="11" borderId="117" xfId="2" applyNumberFormat="1" applyFont="1" applyFill="1" applyBorder="1"/>
    <xf numFmtId="4" fontId="8" fillId="11" borderId="147" xfId="2" applyNumberFormat="1" applyFont="1" applyFill="1" applyBorder="1"/>
    <xf numFmtId="4" fontId="8" fillId="11" borderId="117" xfId="2" applyNumberFormat="1" applyFont="1" applyFill="1" applyBorder="1" applyAlignment="1">
      <alignment horizontal="right" wrapText="1"/>
    </xf>
    <xf numFmtId="4" fontId="8" fillId="17" borderId="117" xfId="2" applyNumberFormat="1" applyFont="1" applyFill="1" applyBorder="1"/>
    <xf numFmtId="4" fontId="8" fillId="17" borderId="147" xfId="2" applyNumberFormat="1" applyFont="1" applyFill="1" applyBorder="1"/>
    <xf numFmtId="4" fontId="8" fillId="17" borderId="141" xfId="0" applyNumberFormat="1" applyFont="1" applyFill="1" applyBorder="1"/>
    <xf numFmtId="3" fontId="11" fillId="11" borderId="90" xfId="2" applyNumberFormat="1" applyFont="1" applyFill="1" applyBorder="1"/>
    <xf numFmtId="3" fontId="8" fillId="17" borderId="117" xfId="2" applyNumberFormat="1" applyFont="1" applyFill="1" applyBorder="1"/>
    <xf numFmtId="3" fontId="9" fillId="11" borderId="153" xfId="2" applyNumberFormat="1" applyFont="1" applyFill="1" applyBorder="1"/>
    <xf numFmtId="3" fontId="19" fillId="11" borderId="117" xfId="2" applyNumberFormat="1" applyFont="1" applyFill="1" applyBorder="1"/>
    <xf numFmtId="3" fontId="14" fillId="11" borderId="117" xfId="2" applyNumberFormat="1" applyFont="1" applyFill="1" applyBorder="1"/>
    <xf numFmtId="3" fontId="14" fillId="11" borderId="141" xfId="2" applyNumberFormat="1" applyFont="1" applyFill="1" applyBorder="1"/>
    <xf numFmtId="3" fontId="8" fillId="11" borderId="89" xfId="2" applyNumberFormat="1" applyFont="1" applyFill="1" applyBorder="1"/>
    <xf numFmtId="3" fontId="8" fillId="11" borderId="148" xfId="2" applyNumberFormat="1" applyFont="1" applyFill="1" applyBorder="1"/>
    <xf numFmtId="4" fontId="2" fillId="6" borderId="114" xfId="2" applyNumberFormat="1" applyFont="1" applyFill="1" applyBorder="1"/>
    <xf numFmtId="4" fontId="2" fillId="6" borderId="114" xfId="2" applyNumberFormat="1" applyFont="1" applyFill="1" applyBorder="1" applyAlignment="1">
      <alignment horizontal="right" wrapText="1"/>
    </xf>
    <xf numFmtId="4" fontId="2" fillId="6" borderId="154" xfId="2" applyNumberFormat="1" applyFont="1" applyFill="1" applyBorder="1"/>
    <xf numFmtId="3" fontId="9" fillId="6" borderId="155" xfId="2" applyNumberFormat="1" applyFont="1" applyFill="1" applyBorder="1"/>
    <xf numFmtId="3" fontId="11" fillId="6" borderId="114" xfId="2" applyNumberFormat="1" applyFont="1" applyFill="1" applyBorder="1"/>
    <xf numFmtId="3" fontId="8" fillId="6" borderId="114" xfId="2" applyNumberFormat="1" applyFont="1" applyFill="1" applyBorder="1"/>
    <xf numFmtId="3" fontId="9" fillId="6" borderId="114" xfId="2" applyNumberFormat="1" applyFont="1" applyFill="1" applyBorder="1"/>
    <xf numFmtId="3" fontId="19" fillId="6" borderId="114" xfId="2" applyNumberFormat="1" applyFont="1" applyFill="1" applyBorder="1"/>
    <xf numFmtId="3" fontId="14" fillId="6" borderId="114" xfId="2" applyNumberFormat="1" applyFont="1" applyFill="1" applyBorder="1"/>
    <xf numFmtId="3" fontId="2" fillId="6" borderId="156" xfId="2" applyNumberFormat="1" applyFont="1" applyFill="1" applyBorder="1"/>
    <xf numFmtId="3" fontId="2" fillId="6" borderId="116" xfId="2" applyNumberFormat="1" applyFont="1" applyFill="1" applyBorder="1"/>
    <xf numFmtId="0" fontId="2" fillId="6" borderId="0" xfId="2" applyFont="1" applyFill="1"/>
    <xf numFmtId="4" fontId="2" fillId="6" borderId="133" xfId="2" applyNumberFormat="1" applyFont="1" applyFill="1" applyBorder="1" applyAlignment="1">
      <alignment horizontal="right" wrapText="1"/>
    </xf>
    <xf numFmtId="4" fontId="2" fillId="6" borderId="134" xfId="2" applyNumberFormat="1" applyFont="1" applyFill="1" applyBorder="1"/>
    <xf numFmtId="4" fontId="2" fillId="6" borderId="135" xfId="2" applyNumberFormat="1" applyFont="1" applyFill="1" applyBorder="1"/>
    <xf numFmtId="3" fontId="9" fillId="6" borderId="24" xfId="2" applyNumberFormat="1" applyFont="1" applyFill="1" applyBorder="1"/>
    <xf numFmtId="3" fontId="11" fillId="6" borderId="133" xfId="2" applyNumberFormat="1" applyFont="1" applyFill="1" applyBorder="1"/>
    <xf numFmtId="3" fontId="8" fillId="6" borderId="133" xfId="2" applyNumberFormat="1" applyFont="1" applyFill="1" applyBorder="1"/>
    <xf numFmtId="3" fontId="9" fillId="6" borderId="133" xfId="2" applyNumberFormat="1" applyFont="1" applyFill="1" applyBorder="1"/>
    <xf numFmtId="3" fontId="19" fillId="6" borderId="133" xfId="2" applyNumberFormat="1" applyFont="1" applyFill="1" applyBorder="1"/>
    <xf numFmtId="3" fontId="14" fillId="6" borderId="133" xfId="2" applyNumberFormat="1" applyFont="1" applyFill="1" applyBorder="1"/>
    <xf numFmtId="3" fontId="2" fillId="6" borderId="138" xfId="2" applyNumberFormat="1" applyFont="1" applyFill="1" applyBorder="1"/>
    <xf numFmtId="3" fontId="2" fillId="6" borderId="157" xfId="2" applyNumberFormat="1" applyFont="1" applyFill="1" applyBorder="1"/>
    <xf numFmtId="1" fontId="2" fillId="6" borderId="132" xfId="2" quotePrefix="1" applyNumberFormat="1" applyFont="1" applyFill="1" applyBorder="1" applyAlignment="1">
      <alignment horizontal="center"/>
    </xf>
    <xf numFmtId="4" fontId="2" fillId="6" borderId="24" xfId="2" applyNumberFormat="1" applyFont="1" applyFill="1" applyBorder="1"/>
    <xf numFmtId="4" fontId="2" fillId="6" borderId="137" xfId="2" applyNumberFormat="1" applyFont="1" applyFill="1" applyBorder="1"/>
    <xf numFmtId="3" fontId="11" fillId="6" borderId="24" xfId="2" applyNumberFormat="1" applyFont="1" applyFill="1" applyBorder="1"/>
    <xf numFmtId="3" fontId="9" fillId="6" borderId="137" xfId="2" applyNumberFormat="1" applyFont="1" applyFill="1" applyBorder="1"/>
    <xf numFmtId="1" fontId="2" fillId="17" borderId="132" xfId="2" quotePrefix="1" applyNumberFormat="1" applyFont="1" applyFill="1" applyBorder="1" applyAlignment="1">
      <alignment horizontal="center"/>
    </xf>
    <xf numFmtId="4" fontId="8" fillId="17" borderId="24" xfId="2" applyNumberFormat="1" applyFont="1" applyFill="1" applyBorder="1"/>
    <xf numFmtId="4" fontId="8" fillId="17" borderId="137" xfId="2" applyNumberFormat="1" applyFont="1" applyFill="1" applyBorder="1"/>
    <xf numFmtId="4" fontId="8" fillId="17" borderId="135" xfId="2" applyNumberFormat="1" applyFont="1" applyFill="1" applyBorder="1"/>
    <xf numFmtId="3" fontId="9" fillId="17" borderId="24" xfId="2" applyNumberFormat="1" applyFont="1" applyFill="1" applyBorder="1"/>
    <xf numFmtId="3" fontId="11" fillId="17" borderId="24" xfId="2" applyNumberFormat="1" applyFont="1" applyFill="1" applyBorder="1"/>
    <xf numFmtId="3" fontId="8" fillId="17" borderId="24" xfId="2" applyNumberFormat="1" applyFont="1" applyFill="1" applyBorder="1"/>
    <xf numFmtId="3" fontId="8" fillId="17" borderId="138" xfId="2" applyNumberFormat="1" applyFont="1" applyFill="1" applyBorder="1"/>
    <xf numFmtId="3" fontId="8" fillId="17" borderId="157" xfId="2" applyNumberFormat="1" applyFont="1" applyFill="1" applyBorder="1"/>
    <xf numFmtId="1" fontId="8" fillId="13" borderId="125" xfId="2" quotePrefix="1" applyNumberFormat="1" applyFont="1" applyFill="1" applyBorder="1" applyAlignment="1">
      <alignment horizontal="center"/>
    </xf>
    <xf numFmtId="0" fontId="8" fillId="13" borderId="126" xfId="2" applyFont="1" applyFill="1" applyBorder="1" applyAlignment="1">
      <alignment wrapText="1"/>
    </xf>
    <xf numFmtId="4" fontId="8" fillId="13" borderId="76" xfId="2" applyNumberFormat="1" applyFont="1" applyFill="1" applyBorder="1" applyAlignment="1">
      <alignment horizontal="right" wrapText="1"/>
    </xf>
    <xf numFmtId="4" fontId="8" fillId="13" borderId="158" xfId="2" applyNumberFormat="1" applyFont="1" applyFill="1" applyBorder="1" applyAlignment="1">
      <alignment horizontal="right" wrapText="1"/>
    </xf>
    <xf numFmtId="4" fontId="8" fillId="13" borderId="77" xfId="2" applyNumberFormat="1" applyFont="1" applyFill="1" applyBorder="1" applyAlignment="1">
      <alignment horizontal="right" wrapText="1"/>
    </xf>
    <xf numFmtId="4" fontId="8" fillId="13" borderId="77" xfId="2" applyNumberFormat="1" applyFont="1" applyFill="1" applyBorder="1"/>
    <xf numFmtId="4" fontId="8" fillId="13" borderId="147" xfId="2" applyNumberFormat="1" applyFont="1" applyFill="1" applyBorder="1"/>
    <xf numFmtId="4" fontId="8" fillId="13" borderId="141" xfId="2" applyNumberFormat="1" applyFont="1" applyFill="1" applyBorder="1"/>
    <xf numFmtId="3" fontId="9" fillId="13" borderId="90" xfId="2" applyNumberFormat="1" applyFont="1" applyFill="1" applyBorder="1"/>
    <xf numFmtId="3" fontId="11" fillId="13" borderId="87" xfId="2" applyNumberFormat="1" applyFont="1" applyFill="1" applyBorder="1"/>
    <xf numFmtId="3" fontId="8" fillId="13" borderId="77" xfId="2" applyNumberFormat="1" applyFont="1" applyFill="1" applyBorder="1"/>
    <xf numFmtId="3" fontId="9" fillId="13" borderId="159" xfId="2" applyNumberFormat="1" applyFont="1" applyFill="1" applyBorder="1"/>
    <xf numFmtId="3" fontId="19" fillId="13" borderId="77" xfId="2" applyNumberFormat="1" applyFont="1" applyFill="1" applyBorder="1"/>
    <xf numFmtId="3" fontId="14" fillId="13" borderId="77" xfId="2" applyNumberFormat="1" applyFont="1" applyFill="1" applyBorder="1"/>
    <xf numFmtId="3" fontId="14" fillId="13" borderId="160" xfId="2" applyNumberFormat="1" applyFont="1" applyFill="1" applyBorder="1"/>
    <xf numFmtId="3" fontId="14" fillId="13" borderId="161" xfId="2" applyNumberFormat="1" applyFont="1" applyFill="1" applyBorder="1"/>
    <xf numFmtId="4" fontId="8" fillId="11" borderId="76" xfId="2" applyNumberFormat="1" applyFont="1" applyFill="1" applyBorder="1" applyAlignment="1">
      <alignment horizontal="right" wrapText="1"/>
    </xf>
    <xf numFmtId="4" fontId="8" fillId="11" borderId="158" xfId="2" applyNumberFormat="1" applyFont="1" applyFill="1" applyBorder="1" applyAlignment="1">
      <alignment horizontal="right" wrapText="1"/>
    </xf>
    <xf numFmtId="4" fontId="8" fillId="11" borderId="77" xfId="2" applyNumberFormat="1" applyFont="1" applyFill="1" applyBorder="1" applyAlignment="1">
      <alignment horizontal="right" wrapText="1"/>
    </xf>
    <xf numFmtId="4" fontId="8" fillId="11" borderId="77" xfId="2" applyNumberFormat="1" applyFont="1" applyFill="1" applyBorder="1"/>
    <xf numFmtId="4" fontId="8" fillId="11" borderId="149" xfId="2" applyNumberFormat="1" applyFont="1" applyFill="1" applyBorder="1"/>
    <xf numFmtId="4" fontId="8" fillId="11" borderId="122" xfId="2" applyNumberFormat="1" applyFont="1" applyFill="1" applyBorder="1"/>
    <xf numFmtId="3" fontId="11" fillId="11" borderId="87" xfId="2" applyNumberFormat="1" applyFont="1" applyFill="1" applyBorder="1"/>
    <xf numFmtId="3" fontId="8" fillId="11" borderId="77" xfId="2" applyNumberFormat="1" applyFont="1" applyFill="1" applyBorder="1"/>
    <xf numFmtId="3" fontId="9" fillId="11" borderId="159" xfId="2" applyNumberFormat="1" applyFont="1" applyFill="1" applyBorder="1"/>
    <xf numFmtId="3" fontId="19" fillId="11" borderId="77" xfId="2" applyNumberFormat="1" applyFont="1" applyFill="1" applyBorder="1"/>
    <xf numFmtId="3" fontId="14" fillId="11" borderId="77" xfId="2" applyNumberFormat="1" applyFont="1" applyFill="1" applyBorder="1"/>
    <xf numFmtId="3" fontId="14" fillId="11" borderId="160" xfId="2" applyNumberFormat="1" applyFont="1" applyFill="1" applyBorder="1"/>
    <xf numFmtId="3" fontId="14" fillId="11" borderId="161" xfId="2" applyNumberFormat="1" applyFont="1" applyFill="1" applyBorder="1"/>
    <xf numFmtId="4" fontId="7" fillId="0" borderId="0" xfId="2" applyNumberFormat="1" applyFont="1"/>
    <xf numFmtId="4" fontId="4" fillId="0" borderId="0" xfId="2" applyNumberFormat="1" applyFont="1"/>
    <xf numFmtId="0" fontId="8" fillId="0" borderId="0" xfId="2" applyFont="1"/>
    <xf numFmtId="4" fontId="8" fillId="0" borderId="0" xfId="2" applyNumberFormat="1" applyFont="1"/>
    <xf numFmtId="4" fontId="33" fillId="0" borderId="0" xfId="2" applyNumberFormat="1" applyFont="1"/>
    <xf numFmtId="0" fontId="8" fillId="0" borderId="85" xfId="2" quotePrefix="1" applyFont="1" applyBorder="1" applyAlignment="1">
      <alignment horizontal="center"/>
    </xf>
    <xf numFmtId="4" fontId="2" fillId="6" borderId="114" xfId="0" applyNumberFormat="1" applyFont="1" applyFill="1" applyBorder="1"/>
    <xf numFmtId="4" fontId="17" fillId="6" borderId="133" xfId="0" applyNumberFormat="1" applyFont="1" applyFill="1" applyBorder="1"/>
    <xf numFmtId="4" fontId="2" fillId="6" borderId="133" xfId="0" applyNumberFormat="1" applyFont="1" applyFill="1" applyBorder="1"/>
    <xf numFmtId="4" fontId="17" fillId="6" borderId="117" xfId="0" applyNumberFormat="1" applyFont="1" applyFill="1" applyBorder="1"/>
    <xf numFmtId="3" fontId="31" fillId="0" borderId="41" xfId="2" applyNumberFormat="1" applyFont="1" applyBorder="1"/>
    <xf numFmtId="3" fontId="31" fillId="0" borderId="24" xfId="2" applyNumberFormat="1" applyFont="1" applyBorder="1"/>
    <xf numFmtId="3" fontId="31" fillId="6" borderId="24" xfId="2" applyNumberFormat="1" applyFont="1" applyFill="1" applyBorder="1"/>
    <xf numFmtId="3" fontId="9" fillId="0" borderId="163" xfId="2" applyNumberFormat="1" applyFont="1" applyBorder="1"/>
    <xf numFmtId="3" fontId="31" fillId="0" borderId="155" xfId="2" applyNumberFormat="1" applyFont="1" applyBorder="1"/>
    <xf numFmtId="3" fontId="31" fillId="0" borderId="90" xfId="2" applyNumberFormat="1" applyFont="1" applyBorder="1"/>
    <xf numFmtId="3" fontId="9" fillId="16" borderId="124" xfId="2" applyNumberFormat="1" applyFont="1" applyFill="1" applyBorder="1"/>
    <xf numFmtId="3" fontId="31" fillId="6" borderId="155" xfId="2" applyNumberFormat="1" applyFont="1" applyFill="1" applyBorder="1"/>
    <xf numFmtId="3" fontId="31" fillId="0" borderId="31" xfId="2" applyNumberFormat="1" applyFont="1" applyBorder="1"/>
    <xf numFmtId="3" fontId="9" fillId="11" borderId="164" xfId="2" applyNumberFormat="1" applyFont="1" applyFill="1" applyBorder="1"/>
    <xf numFmtId="4" fontId="2" fillId="6" borderId="150" xfId="0" applyNumberFormat="1" applyFont="1" applyFill="1" applyBorder="1"/>
    <xf numFmtId="4" fontId="17" fillId="6" borderId="85" xfId="0" applyNumberFormat="1" applyFont="1" applyFill="1" applyBorder="1"/>
    <xf numFmtId="4" fontId="2" fillId="6" borderId="130" xfId="0" applyNumberFormat="1" applyFont="1" applyFill="1" applyBorder="1"/>
    <xf numFmtId="4" fontId="2" fillId="6" borderId="117" xfId="0" applyNumberFormat="1" applyFont="1" applyFill="1" applyBorder="1"/>
    <xf numFmtId="4" fontId="8" fillId="16" borderId="85" xfId="0" applyNumberFormat="1" applyFont="1" applyFill="1" applyBorder="1"/>
    <xf numFmtId="4" fontId="8" fillId="16" borderId="122" xfId="2" applyNumberFormat="1" applyFont="1" applyFill="1" applyBorder="1"/>
    <xf numFmtId="4" fontId="2" fillId="6" borderId="119" xfId="0" applyNumberFormat="1" applyFont="1" applyFill="1" applyBorder="1"/>
    <xf numFmtId="4" fontId="8" fillId="12" borderId="118" xfId="0" applyNumberFormat="1" applyFont="1" applyFill="1" applyBorder="1"/>
    <xf numFmtId="4" fontId="8" fillId="17" borderId="117" xfId="0" applyNumberFormat="1" applyFont="1" applyFill="1" applyBorder="1"/>
    <xf numFmtId="4" fontId="8" fillId="17" borderId="133" xfId="2" applyNumberFormat="1" applyFont="1" applyFill="1" applyBorder="1"/>
    <xf numFmtId="4" fontId="8" fillId="13" borderId="117" xfId="2" applyNumberFormat="1" applyFont="1" applyFill="1" applyBorder="1"/>
    <xf numFmtId="4" fontId="8" fillId="11" borderId="85" xfId="2" applyNumberFormat="1" applyFont="1" applyFill="1" applyBorder="1"/>
    <xf numFmtId="1" fontId="2" fillId="6" borderId="166" xfId="2" quotePrefix="1" applyNumberFormat="1" applyFont="1" applyFill="1" applyBorder="1" applyAlignment="1">
      <alignment horizontal="center"/>
    </xf>
    <xf numFmtId="0" fontId="2" fillId="6" borderId="113" xfId="2" applyFont="1" applyFill="1" applyBorder="1" applyAlignment="1">
      <alignment wrapText="1"/>
    </xf>
    <xf numFmtId="0" fontId="2" fillId="6" borderId="136" xfId="2" applyFont="1" applyFill="1" applyBorder="1" applyAlignment="1">
      <alignment wrapText="1"/>
    </xf>
    <xf numFmtId="0" fontId="8" fillId="17" borderId="136" xfId="2" applyFont="1" applyFill="1" applyBorder="1" applyAlignment="1">
      <alignment wrapText="1"/>
    </xf>
    <xf numFmtId="0" fontId="2" fillId="0" borderId="166" xfId="2" applyFont="1" applyBorder="1" applyAlignment="1">
      <alignment horizontal="center"/>
    </xf>
    <xf numFmtId="0" fontId="2" fillId="0" borderId="113" xfId="2" applyFont="1" applyBorder="1" applyAlignment="1">
      <alignment wrapText="1"/>
    </xf>
    <xf numFmtId="4" fontId="2" fillId="0" borderId="114" xfId="2" applyNumberFormat="1" applyFont="1" applyBorder="1"/>
    <xf numFmtId="4" fontId="2" fillId="0" borderId="154" xfId="2" applyNumberFormat="1" applyFont="1" applyBorder="1"/>
    <xf numFmtId="4" fontId="2" fillId="0" borderId="114" xfId="2" applyNumberFormat="1" applyFont="1" applyBorder="1" applyAlignment="1">
      <alignment horizontal="right" wrapText="1"/>
    </xf>
    <xf numFmtId="3" fontId="4" fillId="0" borderId="155" xfId="2" applyNumberFormat="1" applyFont="1" applyBorder="1"/>
    <xf numFmtId="3" fontId="31" fillId="0" borderId="162" xfId="2" applyNumberFormat="1" applyFont="1" applyBorder="1"/>
    <xf numFmtId="3" fontId="5" fillId="0" borderId="114" xfId="2" applyNumberFormat="1" applyFont="1" applyBorder="1"/>
    <xf numFmtId="3" fontId="2" fillId="0" borderId="115" xfId="2" applyNumberFormat="1" applyFont="1" applyBorder="1"/>
    <xf numFmtId="3" fontId="4" fillId="0" borderId="90" xfId="2" applyNumberFormat="1" applyFont="1" applyBorder="1"/>
    <xf numFmtId="3" fontId="11" fillId="16" borderId="124" xfId="2" applyNumberFormat="1" applyFont="1" applyFill="1" applyBorder="1"/>
    <xf numFmtId="3" fontId="14" fillId="6" borderId="115" xfId="2" applyNumberFormat="1" applyFont="1" applyFill="1" applyBorder="1"/>
    <xf numFmtId="3" fontId="14" fillId="6" borderId="135" xfId="2" applyNumberFormat="1" applyFont="1" applyFill="1" applyBorder="1"/>
    <xf numFmtId="3" fontId="8" fillId="17" borderId="135" xfId="2" applyNumberFormat="1" applyFont="1" applyFill="1" applyBorder="1"/>
    <xf numFmtId="3" fontId="14" fillId="13" borderId="165" xfId="2" applyNumberFormat="1" applyFont="1" applyFill="1" applyBorder="1"/>
    <xf numFmtId="3" fontId="14" fillId="11" borderId="165" xfId="2" applyNumberFormat="1" applyFont="1" applyFill="1" applyBorder="1"/>
    <xf numFmtId="3" fontId="6" fillId="0" borderId="114" xfId="2" applyNumberFormat="1" applyFont="1" applyBorder="1"/>
    <xf numFmtId="3" fontId="9" fillId="0" borderId="31" xfId="2" applyNumberFormat="1" applyFont="1" applyBorder="1" applyAlignment="1">
      <alignment horizontal="center" vertical="center" wrapText="1"/>
    </xf>
    <xf numFmtId="3" fontId="9" fillId="0" borderId="124" xfId="2" quotePrefix="1" applyNumberFormat="1" applyFont="1" applyBorder="1" applyAlignment="1">
      <alignment horizontal="center"/>
    </xf>
    <xf numFmtId="3" fontId="9" fillId="0" borderId="24" xfId="2" applyNumberFormat="1" applyFont="1" applyBorder="1"/>
    <xf numFmtId="3" fontId="9" fillId="0" borderId="31" xfId="2" applyNumberFormat="1" applyFont="1" applyBorder="1"/>
    <xf numFmtId="3" fontId="9" fillId="6" borderId="24" xfId="0" applyNumberFormat="1" applyFont="1" applyFill="1" applyBorder="1"/>
    <xf numFmtId="3" fontId="9" fillId="6" borderId="31" xfId="0" applyNumberFormat="1" applyFont="1" applyFill="1" applyBorder="1"/>
    <xf numFmtId="3" fontId="9" fillId="6" borderId="124" xfId="0" applyNumberFormat="1" applyFont="1" applyFill="1" applyBorder="1"/>
    <xf numFmtId="3" fontId="9" fillId="12" borderId="31" xfId="0" applyNumberFormat="1" applyFont="1" applyFill="1" applyBorder="1"/>
    <xf numFmtId="3" fontId="9" fillId="17" borderId="90" xfId="0" applyNumberFormat="1" applyFont="1" applyFill="1" applyBorder="1"/>
    <xf numFmtId="4" fontId="2" fillId="0" borderId="167" xfId="2" applyNumberFormat="1" applyFont="1" applyBorder="1"/>
    <xf numFmtId="4" fontId="2" fillId="0" borderId="167" xfId="2" applyNumberFormat="1" applyFont="1" applyBorder="1" applyAlignment="1">
      <alignment horizontal="left"/>
    </xf>
    <xf numFmtId="4" fontId="8" fillId="0" borderId="119" xfId="2" applyNumberFormat="1" applyFont="1" applyBorder="1" applyAlignment="1">
      <alignment horizontal="center" vertical="center" wrapText="1"/>
    </xf>
    <xf numFmtId="4" fontId="17" fillId="6" borderId="164" xfId="0" applyNumberFormat="1" applyFont="1" applyFill="1" applyBorder="1"/>
    <xf numFmtId="4" fontId="8" fillId="0" borderId="167" xfId="2" applyNumberFormat="1" applyFont="1" applyBorder="1"/>
    <xf numFmtId="3" fontId="9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left"/>
    </xf>
    <xf numFmtId="3" fontId="8" fillId="6" borderId="0" xfId="0" applyNumberFormat="1" applyFont="1" applyFill="1"/>
    <xf numFmtId="0" fontId="0" fillId="0" borderId="0" xfId="0"/>
    <xf numFmtId="4" fontId="8" fillId="0" borderId="7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3" fontId="8" fillId="0" borderId="0" xfId="2" applyNumberFormat="1" applyFont="1" applyAlignment="1">
      <alignment horizontal="left"/>
    </xf>
    <xf numFmtId="3" fontId="8" fillId="0" borderId="114" xfId="2" applyNumberFormat="1" applyFont="1" applyBorder="1" applyAlignment="1">
      <alignment horizontal="center"/>
    </xf>
    <xf numFmtId="0" fontId="8" fillId="0" borderId="97" xfId="0" applyFont="1" applyBorder="1" applyAlignment="1">
      <alignment horizontal="center"/>
    </xf>
    <xf numFmtId="0" fontId="8" fillId="0" borderId="99" xfId="0" applyFont="1" applyBorder="1" applyAlignment="1">
      <alignment horizontal="center"/>
    </xf>
    <xf numFmtId="0" fontId="8" fillId="0" borderId="86" xfId="0" applyFont="1" applyBorder="1" applyAlignment="1">
      <alignment horizontal="center"/>
    </xf>
    <xf numFmtId="4" fontId="8" fillId="0" borderId="8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9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0" fontId="2" fillId="0" borderId="102" xfId="0" applyFont="1" applyBorder="1" applyAlignment="1">
      <alignment horizontal="center"/>
    </xf>
    <xf numFmtId="0" fontId="2" fillId="0" borderId="112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4" fontId="2" fillId="0" borderId="29" xfId="0" applyNumberFormat="1" applyFont="1" applyBorder="1" applyAlignment="1">
      <alignment horizontal="right"/>
    </xf>
    <xf numFmtId="0" fontId="8" fillId="0" borderId="20" xfId="0" applyFont="1" applyBorder="1" applyAlignment="1">
      <alignment horizontal="center"/>
    </xf>
    <xf numFmtId="0" fontId="8" fillId="0" borderId="94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4" fontId="8" fillId="0" borderId="19" xfId="0" applyNumberFormat="1" applyFont="1" applyBorder="1" applyAlignment="1">
      <alignment horizontal="right"/>
    </xf>
    <xf numFmtId="0" fontId="2" fillId="0" borderId="110" xfId="0" applyFont="1" applyBorder="1" applyAlignment="1">
      <alignment horizontal="center"/>
    </xf>
    <xf numFmtId="0" fontId="2" fillId="0" borderId="91" xfId="0" applyFont="1" applyBorder="1" applyAlignment="1">
      <alignment horizontal="center"/>
    </xf>
    <xf numFmtId="0" fontId="2" fillId="0" borderId="111" xfId="0" applyFont="1" applyBorder="1" applyAlignment="1">
      <alignment horizontal="center"/>
    </xf>
    <xf numFmtId="4" fontId="25" fillId="0" borderId="8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4" fontId="9" fillId="0" borderId="97" xfId="0" applyNumberFormat="1" applyFont="1" applyBorder="1" applyAlignment="1">
      <alignment horizontal="right"/>
    </xf>
    <xf numFmtId="4" fontId="9" fillId="0" borderId="86" xfId="0" applyNumberFormat="1" applyFont="1" applyBorder="1" applyAlignment="1">
      <alignment horizontal="right"/>
    </xf>
    <xf numFmtId="4" fontId="25" fillId="0" borderId="97" xfId="0" applyNumberFormat="1" applyFont="1" applyBorder="1" applyAlignment="1">
      <alignment horizontal="right"/>
    </xf>
    <xf numFmtId="4" fontId="25" fillId="0" borderId="86" xfId="0" applyNumberFormat="1" applyFont="1" applyBorder="1" applyAlignment="1">
      <alignment horizontal="right"/>
    </xf>
    <xf numFmtId="4" fontId="25" fillId="6" borderId="97" xfId="0" applyNumberFormat="1" applyFont="1" applyFill="1" applyBorder="1" applyAlignment="1">
      <alignment horizontal="right"/>
    </xf>
    <xf numFmtId="4" fontId="25" fillId="6" borderId="86" xfId="0" applyNumberFormat="1" applyFont="1" applyFill="1" applyBorder="1" applyAlignment="1">
      <alignment horizontal="right"/>
    </xf>
    <xf numFmtId="4" fontId="2" fillId="0" borderId="105" xfId="0" applyNumberFormat="1" applyFont="1" applyBorder="1" applyAlignment="1">
      <alignment horizontal="right"/>
    </xf>
    <xf numFmtId="4" fontId="2" fillId="0" borderId="106" xfId="0" applyNumberFormat="1" applyFont="1" applyBorder="1" applyAlignment="1">
      <alignment horizontal="right"/>
    </xf>
    <xf numFmtId="4" fontId="2" fillId="0" borderId="101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4" fontId="2" fillId="0" borderId="102" xfId="0" applyNumberFormat="1" applyFont="1" applyBorder="1" applyAlignment="1">
      <alignment horizontal="right"/>
    </xf>
    <xf numFmtId="4" fontId="2" fillId="0" borderId="103" xfId="0" applyNumberFormat="1" applyFont="1" applyBorder="1" applyAlignment="1">
      <alignment horizontal="right"/>
    </xf>
    <xf numFmtId="4" fontId="2" fillId="6" borderId="102" xfId="0" applyNumberFormat="1" applyFont="1" applyFill="1" applyBorder="1" applyAlignment="1">
      <alignment horizontal="right"/>
    </xf>
    <xf numFmtId="4" fontId="2" fillId="6" borderId="103" xfId="0" applyNumberFormat="1" applyFont="1" applyFill="1" applyBorder="1" applyAlignment="1">
      <alignment horizontal="right"/>
    </xf>
    <xf numFmtId="4" fontId="13" fillId="0" borderId="97" xfId="0" applyNumberFormat="1" applyFont="1" applyBorder="1" applyAlignment="1">
      <alignment horizontal="right"/>
    </xf>
    <xf numFmtId="4" fontId="13" fillId="0" borderId="86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8" fillId="0" borderId="20" xfId="0" applyNumberFormat="1" applyFont="1" applyBorder="1" applyAlignment="1">
      <alignment horizontal="right"/>
    </xf>
    <xf numFmtId="4" fontId="8" fillId="0" borderId="18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1" fontId="8" fillId="0" borderId="98" xfId="0" quotePrefix="1" applyNumberFormat="1" applyFont="1" applyBorder="1" applyAlignment="1">
      <alignment horizontal="center" vertical="center"/>
    </xf>
    <xf numFmtId="1" fontId="8" fillId="0" borderId="86" xfId="0" quotePrefix="1" applyNumberFormat="1" applyFont="1" applyBorder="1" applyAlignment="1">
      <alignment horizontal="center" vertical="center"/>
    </xf>
    <xf numFmtId="1" fontId="8" fillId="0" borderId="97" xfId="0" quotePrefix="1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</cellXfs>
  <cellStyles count="3">
    <cellStyle name="Comma_Sheet3" xfId="1" xr:uid="{E05DDF45-A5CA-4BD6-B3E6-14F27C32360A}"/>
    <cellStyle name="Normalno" xfId="0" builtinId="0"/>
    <cellStyle name="Normalno 2" xfId="2" xr:uid="{830CB487-A00D-43E2-B7CC-32635FF4C8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a/Desktop/Nova%20mapa/06.%20IZVR&#352;ENJA/10.%20izvr&#353;enje%202020/I-XII/IZVR&#352;ENJE%20I-XII%202020/JVP%20Opatija%20%20Izvr&#353;enj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.12.2020. prije preraspodjele"/>
      <sheetName val="31.12.2020. PRERASPODJELA"/>
      <sheetName val="PRIHODI I RASHODI 2020"/>
      <sheetName val="2010-2020"/>
    </sheetNames>
    <sheetDataSet>
      <sheetData sheetId="0">
        <row r="48">
          <cell r="F48">
            <v>7914861.7800000003</v>
          </cell>
          <cell r="R48">
            <v>7203399.71</v>
          </cell>
        </row>
        <row r="53">
          <cell r="R53">
            <v>8500</v>
          </cell>
        </row>
        <row r="56">
          <cell r="F56">
            <v>46936.9</v>
          </cell>
          <cell r="R56">
            <v>37587.99</v>
          </cell>
        </row>
        <row r="58">
          <cell r="E58">
            <v>1497761.98</v>
          </cell>
          <cell r="F58">
            <v>351165.9</v>
          </cell>
          <cell r="R58">
            <v>692267.66999999993</v>
          </cell>
        </row>
      </sheetData>
      <sheetData sheetId="1">
        <row r="48">
          <cell r="E48">
            <v>7825673.6200000001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27F0A-F494-4374-8CF4-3A6C75A4EEC4}">
  <sheetPr>
    <tabColor rgb="FFFF0000"/>
    <pageSetUpPr fitToPage="1"/>
  </sheetPr>
  <dimension ref="A1:Y121"/>
  <sheetViews>
    <sheetView tabSelected="1" topLeftCell="A31" zoomScale="130" zoomScaleNormal="130" workbookViewId="0">
      <selection activeCell="A3" sqref="A3:Y61"/>
    </sheetView>
  </sheetViews>
  <sheetFormatPr defaultRowHeight="11.25" x14ac:dyDescent="0.2"/>
  <cols>
    <col min="1" max="1" width="5.85546875" style="1" customWidth="1"/>
    <col min="2" max="2" width="25" style="1" customWidth="1"/>
    <col min="3" max="3" width="9.85546875" style="2" hidden="1" customWidth="1"/>
    <col min="4" max="7" width="10.5703125" style="3" hidden="1" customWidth="1"/>
    <col min="8" max="8" width="10.5703125" style="3" customWidth="1"/>
    <col min="9" max="9" width="10" style="4" bestFit="1" customWidth="1"/>
    <col min="10" max="10" width="9.85546875" style="5" customWidth="1"/>
    <col min="11" max="11" width="8.140625" style="5" customWidth="1"/>
    <col min="12" max="13" width="8.42578125" style="5" customWidth="1"/>
    <col min="14" max="14" width="9" style="6" customWidth="1"/>
    <col min="15" max="15" width="9" style="7" customWidth="1"/>
    <col min="16" max="16" width="9.42578125" style="5" hidden="1" customWidth="1"/>
    <col min="17" max="18" width="9.28515625" style="8" hidden="1" customWidth="1"/>
    <col min="19" max="19" width="9.85546875" style="3" customWidth="1"/>
    <col min="20" max="21" width="10.5703125" style="3" customWidth="1"/>
    <col min="22" max="22" width="10" style="3" customWidth="1"/>
    <col min="23" max="23" width="10.5703125" style="3" customWidth="1"/>
    <col min="24" max="24" width="9.28515625" style="3" customWidth="1"/>
    <col min="25" max="25" width="8.5703125" style="3" customWidth="1"/>
    <col min="26" max="260" width="9.140625" style="1"/>
    <col min="261" max="261" width="5.85546875" style="1" customWidth="1"/>
    <col min="262" max="262" width="25" style="1" customWidth="1"/>
    <col min="263" max="263" width="10" style="1" bestFit="1" customWidth="1"/>
    <col min="264" max="264" width="9.85546875" style="1" customWidth="1"/>
    <col min="265" max="265" width="10" style="1" bestFit="1" customWidth="1"/>
    <col min="266" max="266" width="9.85546875" style="1" customWidth="1"/>
    <col min="267" max="267" width="8.140625" style="1" customWidth="1"/>
    <col min="268" max="269" width="8.42578125" style="1" customWidth="1"/>
    <col min="270" max="271" width="9" style="1" customWidth="1"/>
    <col min="272" max="274" width="0" style="1" hidden="1" customWidth="1"/>
    <col min="275" max="275" width="9.85546875" style="1" customWidth="1"/>
    <col min="276" max="277" width="10.5703125" style="1" customWidth="1"/>
    <col min="278" max="278" width="10" style="1" customWidth="1"/>
    <col min="279" max="279" width="10.5703125" style="1" customWidth="1"/>
    <col min="280" max="280" width="9.28515625" style="1" customWidth="1"/>
    <col min="281" max="281" width="8.5703125" style="1" customWidth="1"/>
    <col min="282" max="516" width="9.140625" style="1"/>
    <col min="517" max="517" width="5.85546875" style="1" customWidth="1"/>
    <col min="518" max="518" width="25" style="1" customWidth="1"/>
    <col min="519" max="519" width="10" style="1" bestFit="1" customWidth="1"/>
    <col min="520" max="520" width="9.85546875" style="1" customWidth="1"/>
    <col min="521" max="521" width="10" style="1" bestFit="1" customWidth="1"/>
    <col min="522" max="522" width="9.85546875" style="1" customWidth="1"/>
    <col min="523" max="523" width="8.140625" style="1" customWidth="1"/>
    <col min="524" max="525" width="8.42578125" style="1" customWidth="1"/>
    <col min="526" max="527" width="9" style="1" customWidth="1"/>
    <col min="528" max="530" width="0" style="1" hidden="1" customWidth="1"/>
    <col min="531" max="531" width="9.85546875" style="1" customWidth="1"/>
    <col min="532" max="533" width="10.5703125" style="1" customWidth="1"/>
    <col min="534" max="534" width="10" style="1" customWidth="1"/>
    <col min="535" max="535" width="10.5703125" style="1" customWidth="1"/>
    <col min="536" max="536" width="9.28515625" style="1" customWidth="1"/>
    <col min="537" max="537" width="8.5703125" style="1" customWidth="1"/>
    <col min="538" max="772" width="9.140625" style="1"/>
    <col min="773" max="773" width="5.85546875" style="1" customWidth="1"/>
    <col min="774" max="774" width="25" style="1" customWidth="1"/>
    <col min="775" max="775" width="10" style="1" bestFit="1" customWidth="1"/>
    <col min="776" max="776" width="9.85546875" style="1" customWidth="1"/>
    <col min="777" max="777" width="10" style="1" bestFit="1" customWidth="1"/>
    <col min="778" max="778" width="9.85546875" style="1" customWidth="1"/>
    <col min="779" max="779" width="8.140625" style="1" customWidth="1"/>
    <col min="780" max="781" width="8.42578125" style="1" customWidth="1"/>
    <col min="782" max="783" width="9" style="1" customWidth="1"/>
    <col min="784" max="786" width="0" style="1" hidden="1" customWidth="1"/>
    <col min="787" max="787" width="9.85546875" style="1" customWidth="1"/>
    <col min="788" max="789" width="10.5703125" style="1" customWidth="1"/>
    <col min="790" max="790" width="10" style="1" customWidth="1"/>
    <col min="791" max="791" width="10.5703125" style="1" customWidth="1"/>
    <col min="792" max="792" width="9.28515625" style="1" customWidth="1"/>
    <col min="793" max="793" width="8.5703125" style="1" customWidth="1"/>
    <col min="794" max="1028" width="9.140625" style="1"/>
    <col min="1029" max="1029" width="5.85546875" style="1" customWidth="1"/>
    <col min="1030" max="1030" width="25" style="1" customWidth="1"/>
    <col min="1031" max="1031" width="10" style="1" bestFit="1" customWidth="1"/>
    <col min="1032" max="1032" width="9.85546875" style="1" customWidth="1"/>
    <col min="1033" max="1033" width="10" style="1" bestFit="1" customWidth="1"/>
    <col min="1034" max="1034" width="9.85546875" style="1" customWidth="1"/>
    <col min="1035" max="1035" width="8.140625" style="1" customWidth="1"/>
    <col min="1036" max="1037" width="8.42578125" style="1" customWidth="1"/>
    <col min="1038" max="1039" width="9" style="1" customWidth="1"/>
    <col min="1040" max="1042" width="0" style="1" hidden="1" customWidth="1"/>
    <col min="1043" max="1043" width="9.85546875" style="1" customWidth="1"/>
    <col min="1044" max="1045" width="10.5703125" style="1" customWidth="1"/>
    <col min="1046" max="1046" width="10" style="1" customWidth="1"/>
    <col min="1047" max="1047" width="10.5703125" style="1" customWidth="1"/>
    <col min="1048" max="1048" width="9.28515625" style="1" customWidth="1"/>
    <col min="1049" max="1049" width="8.5703125" style="1" customWidth="1"/>
    <col min="1050" max="1284" width="9.140625" style="1"/>
    <col min="1285" max="1285" width="5.85546875" style="1" customWidth="1"/>
    <col min="1286" max="1286" width="25" style="1" customWidth="1"/>
    <col min="1287" max="1287" width="10" style="1" bestFit="1" customWidth="1"/>
    <col min="1288" max="1288" width="9.85546875" style="1" customWidth="1"/>
    <col min="1289" max="1289" width="10" style="1" bestFit="1" customWidth="1"/>
    <col min="1290" max="1290" width="9.85546875" style="1" customWidth="1"/>
    <col min="1291" max="1291" width="8.140625" style="1" customWidth="1"/>
    <col min="1292" max="1293" width="8.42578125" style="1" customWidth="1"/>
    <col min="1294" max="1295" width="9" style="1" customWidth="1"/>
    <col min="1296" max="1298" width="0" style="1" hidden="1" customWidth="1"/>
    <col min="1299" max="1299" width="9.85546875" style="1" customWidth="1"/>
    <col min="1300" max="1301" width="10.5703125" style="1" customWidth="1"/>
    <col min="1302" max="1302" width="10" style="1" customWidth="1"/>
    <col min="1303" max="1303" width="10.5703125" style="1" customWidth="1"/>
    <col min="1304" max="1304" width="9.28515625" style="1" customWidth="1"/>
    <col min="1305" max="1305" width="8.5703125" style="1" customWidth="1"/>
    <col min="1306" max="1540" width="9.140625" style="1"/>
    <col min="1541" max="1541" width="5.85546875" style="1" customWidth="1"/>
    <col min="1542" max="1542" width="25" style="1" customWidth="1"/>
    <col min="1543" max="1543" width="10" style="1" bestFit="1" customWidth="1"/>
    <col min="1544" max="1544" width="9.85546875" style="1" customWidth="1"/>
    <col min="1545" max="1545" width="10" style="1" bestFit="1" customWidth="1"/>
    <col min="1546" max="1546" width="9.85546875" style="1" customWidth="1"/>
    <col min="1547" max="1547" width="8.140625" style="1" customWidth="1"/>
    <col min="1548" max="1549" width="8.42578125" style="1" customWidth="1"/>
    <col min="1550" max="1551" width="9" style="1" customWidth="1"/>
    <col min="1552" max="1554" width="0" style="1" hidden="1" customWidth="1"/>
    <col min="1555" max="1555" width="9.85546875" style="1" customWidth="1"/>
    <col min="1556" max="1557" width="10.5703125" style="1" customWidth="1"/>
    <col min="1558" max="1558" width="10" style="1" customWidth="1"/>
    <col min="1559" max="1559" width="10.5703125" style="1" customWidth="1"/>
    <col min="1560" max="1560" width="9.28515625" style="1" customWidth="1"/>
    <col min="1561" max="1561" width="8.5703125" style="1" customWidth="1"/>
    <col min="1562" max="1796" width="9.140625" style="1"/>
    <col min="1797" max="1797" width="5.85546875" style="1" customWidth="1"/>
    <col min="1798" max="1798" width="25" style="1" customWidth="1"/>
    <col min="1799" max="1799" width="10" style="1" bestFit="1" customWidth="1"/>
    <col min="1800" max="1800" width="9.85546875" style="1" customWidth="1"/>
    <col min="1801" max="1801" width="10" style="1" bestFit="1" customWidth="1"/>
    <col min="1802" max="1802" width="9.85546875" style="1" customWidth="1"/>
    <col min="1803" max="1803" width="8.140625" style="1" customWidth="1"/>
    <col min="1804" max="1805" width="8.42578125" style="1" customWidth="1"/>
    <col min="1806" max="1807" width="9" style="1" customWidth="1"/>
    <col min="1808" max="1810" width="0" style="1" hidden="1" customWidth="1"/>
    <col min="1811" max="1811" width="9.85546875" style="1" customWidth="1"/>
    <col min="1812" max="1813" width="10.5703125" style="1" customWidth="1"/>
    <col min="1814" max="1814" width="10" style="1" customWidth="1"/>
    <col min="1815" max="1815" width="10.5703125" style="1" customWidth="1"/>
    <col min="1816" max="1816" width="9.28515625" style="1" customWidth="1"/>
    <col min="1817" max="1817" width="8.5703125" style="1" customWidth="1"/>
    <col min="1818" max="2052" width="9.140625" style="1"/>
    <col min="2053" max="2053" width="5.85546875" style="1" customWidth="1"/>
    <col min="2054" max="2054" width="25" style="1" customWidth="1"/>
    <col min="2055" max="2055" width="10" style="1" bestFit="1" customWidth="1"/>
    <col min="2056" max="2056" width="9.85546875" style="1" customWidth="1"/>
    <col min="2057" max="2057" width="10" style="1" bestFit="1" customWidth="1"/>
    <col min="2058" max="2058" width="9.85546875" style="1" customWidth="1"/>
    <col min="2059" max="2059" width="8.140625" style="1" customWidth="1"/>
    <col min="2060" max="2061" width="8.42578125" style="1" customWidth="1"/>
    <col min="2062" max="2063" width="9" style="1" customWidth="1"/>
    <col min="2064" max="2066" width="0" style="1" hidden="1" customWidth="1"/>
    <col min="2067" max="2067" width="9.85546875" style="1" customWidth="1"/>
    <col min="2068" max="2069" width="10.5703125" style="1" customWidth="1"/>
    <col min="2070" max="2070" width="10" style="1" customWidth="1"/>
    <col min="2071" max="2071" width="10.5703125" style="1" customWidth="1"/>
    <col min="2072" max="2072" width="9.28515625" style="1" customWidth="1"/>
    <col min="2073" max="2073" width="8.5703125" style="1" customWidth="1"/>
    <col min="2074" max="2308" width="9.140625" style="1"/>
    <col min="2309" max="2309" width="5.85546875" style="1" customWidth="1"/>
    <col min="2310" max="2310" width="25" style="1" customWidth="1"/>
    <col min="2311" max="2311" width="10" style="1" bestFit="1" customWidth="1"/>
    <col min="2312" max="2312" width="9.85546875" style="1" customWidth="1"/>
    <col min="2313" max="2313" width="10" style="1" bestFit="1" customWidth="1"/>
    <col min="2314" max="2314" width="9.85546875" style="1" customWidth="1"/>
    <col min="2315" max="2315" width="8.140625" style="1" customWidth="1"/>
    <col min="2316" max="2317" width="8.42578125" style="1" customWidth="1"/>
    <col min="2318" max="2319" width="9" style="1" customWidth="1"/>
    <col min="2320" max="2322" width="0" style="1" hidden="1" customWidth="1"/>
    <col min="2323" max="2323" width="9.85546875" style="1" customWidth="1"/>
    <col min="2324" max="2325" width="10.5703125" style="1" customWidth="1"/>
    <col min="2326" max="2326" width="10" style="1" customWidth="1"/>
    <col min="2327" max="2327" width="10.5703125" style="1" customWidth="1"/>
    <col min="2328" max="2328" width="9.28515625" style="1" customWidth="1"/>
    <col min="2329" max="2329" width="8.5703125" style="1" customWidth="1"/>
    <col min="2330" max="2564" width="9.140625" style="1"/>
    <col min="2565" max="2565" width="5.85546875" style="1" customWidth="1"/>
    <col min="2566" max="2566" width="25" style="1" customWidth="1"/>
    <col min="2567" max="2567" width="10" style="1" bestFit="1" customWidth="1"/>
    <col min="2568" max="2568" width="9.85546875" style="1" customWidth="1"/>
    <col min="2569" max="2569" width="10" style="1" bestFit="1" customWidth="1"/>
    <col min="2570" max="2570" width="9.85546875" style="1" customWidth="1"/>
    <col min="2571" max="2571" width="8.140625" style="1" customWidth="1"/>
    <col min="2572" max="2573" width="8.42578125" style="1" customWidth="1"/>
    <col min="2574" max="2575" width="9" style="1" customWidth="1"/>
    <col min="2576" max="2578" width="0" style="1" hidden="1" customWidth="1"/>
    <col min="2579" max="2579" width="9.85546875" style="1" customWidth="1"/>
    <col min="2580" max="2581" width="10.5703125" style="1" customWidth="1"/>
    <col min="2582" max="2582" width="10" style="1" customWidth="1"/>
    <col min="2583" max="2583" width="10.5703125" style="1" customWidth="1"/>
    <col min="2584" max="2584" width="9.28515625" style="1" customWidth="1"/>
    <col min="2585" max="2585" width="8.5703125" style="1" customWidth="1"/>
    <col min="2586" max="2820" width="9.140625" style="1"/>
    <col min="2821" max="2821" width="5.85546875" style="1" customWidth="1"/>
    <col min="2822" max="2822" width="25" style="1" customWidth="1"/>
    <col min="2823" max="2823" width="10" style="1" bestFit="1" customWidth="1"/>
    <col min="2824" max="2824" width="9.85546875" style="1" customWidth="1"/>
    <col min="2825" max="2825" width="10" style="1" bestFit="1" customWidth="1"/>
    <col min="2826" max="2826" width="9.85546875" style="1" customWidth="1"/>
    <col min="2827" max="2827" width="8.140625" style="1" customWidth="1"/>
    <col min="2828" max="2829" width="8.42578125" style="1" customWidth="1"/>
    <col min="2830" max="2831" width="9" style="1" customWidth="1"/>
    <col min="2832" max="2834" width="0" style="1" hidden="1" customWidth="1"/>
    <col min="2835" max="2835" width="9.85546875" style="1" customWidth="1"/>
    <col min="2836" max="2837" width="10.5703125" style="1" customWidth="1"/>
    <col min="2838" max="2838" width="10" style="1" customWidth="1"/>
    <col min="2839" max="2839" width="10.5703125" style="1" customWidth="1"/>
    <col min="2840" max="2840" width="9.28515625" style="1" customWidth="1"/>
    <col min="2841" max="2841" width="8.5703125" style="1" customWidth="1"/>
    <col min="2842" max="3076" width="9.140625" style="1"/>
    <col min="3077" max="3077" width="5.85546875" style="1" customWidth="1"/>
    <col min="3078" max="3078" width="25" style="1" customWidth="1"/>
    <col min="3079" max="3079" width="10" style="1" bestFit="1" customWidth="1"/>
    <col min="3080" max="3080" width="9.85546875" style="1" customWidth="1"/>
    <col min="3081" max="3081" width="10" style="1" bestFit="1" customWidth="1"/>
    <col min="3082" max="3082" width="9.85546875" style="1" customWidth="1"/>
    <col min="3083" max="3083" width="8.140625" style="1" customWidth="1"/>
    <col min="3084" max="3085" width="8.42578125" style="1" customWidth="1"/>
    <col min="3086" max="3087" width="9" style="1" customWidth="1"/>
    <col min="3088" max="3090" width="0" style="1" hidden="1" customWidth="1"/>
    <col min="3091" max="3091" width="9.85546875" style="1" customWidth="1"/>
    <col min="3092" max="3093" width="10.5703125" style="1" customWidth="1"/>
    <col min="3094" max="3094" width="10" style="1" customWidth="1"/>
    <col min="3095" max="3095" width="10.5703125" style="1" customWidth="1"/>
    <col min="3096" max="3096" width="9.28515625" style="1" customWidth="1"/>
    <col min="3097" max="3097" width="8.5703125" style="1" customWidth="1"/>
    <col min="3098" max="3332" width="9.140625" style="1"/>
    <col min="3333" max="3333" width="5.85546875" style="1" customWidth="1"/>
    <col min="3334" max="3334" width="25" style="1" customWidth="1"/>
    <col min="3335" max="3335" width="10" style="1" bestFit="1" customWidth="1"/>
    <col min="3336" max="3336" width="9.85546875" style="1" customWidth="1"/>
    <col min="3337" max="3337" width="10" style="1" bestFit="1" customWidth="1"/>
    <col min="3338" max="3338" width="9.85546875" style="1" customWidth="1"/>
    <col min="3339" max="3339" width="8.140625" style="1" customWidth="1"/>
    <col min="3340" max="3341" width="8.42578125" style="1" customWidth="1"/>
    <col min="3342" max="3343" width="9" style="1" customWidth="1"/>
    <col min="3344" max="3346" width="0" style="1" hidden="1" customWidth="1"/>
    <col min="3347" max="3347" width="9.85546875" style="1" customWidth="1"/>
    <col min="3348" max="3349" width="10.5703125" style="1" customWidth="1"/>
    <col min="3350" max="3350" width="10" style="1" customWidth="1"/>
    <col min="3351" max="3351" width="10.5703125" style="1" customWidth="1"/>
    <col min="3352" max="3352" width="9.28515625" style="1" customWidth="1"/>
    <col min="3353" max="3353" width="8.5703125" style="1" customWidth="1"/>
    <col min="3354" max="3588" width="9.140625" style="1"/>
    <col min="3589" max="3589" width="5.85546875" style="1" customWidth="1"/>
    <col min="3590" max="3590" width="25" style="1" customWidth="1"/>
    <col min="3591" max="3591" width="10" style="1" bestFit="1" customWidth="1"/>
    <col min="3592" max="3592" width="9.85546875" style="1" customWidth="1"/>
    <col min="3593" max="3593" width="10" style="1" bestFit="1" customWidth="1"/>
    <col min="3594" max="3594" width="9.85546875" style="1" customWidth="1"/>
    <col min="3595" max="3595" width="8.140625" style="1" customWidth="1"/>
    <col min="3596" max="3597" width="8.42578125" style="1" customWidth="1"/>
    <col min="3598" max="3599" width="9" style="1" customWidth="1"/>
    <col min="3600" max="3602" width="0" style="1" hidden="1" customWidth="1"/>
    <col min="3603" max="3603" width="9.85546875" style="1" customWidth="1"/>
    <col min="3604" max="3605" width="10.5703125" style="1" customWidth="1"/>
    <col min="3606" max="3606" width="10" style="1" customWidth="1"/>
    <col min="3607" max="3607" width="10.5703125" style="1" customWidth="1"/>
    <col min="3608" max="3608" width="9.28515625" style="1" customWidth="1"/>
    <col min="3609" max="3609" width="8.5703125" style="1" customWidth="1"/>
    <col min="3610" max="3844" width="9.140625" style="1"/>
    <col min="3845" max="3845" width="5.85546875" style="1" customWidth="1"/>
    <col min="3846" max="3846" width="25" style="1" customWidth="1"/>
    <col min="3847" max="3847" width="10" style="1" bestFit="1" customWidth="1"/>
    <col min="3848" max="3848" width="9.85546875" style="1" customWidth="1"/>
    <col min="3849" max="3849" width="10" style="1" bestFit="1" customWidth="1"/>
    <col min="3850" max="3850" width="9.85546875" style="1" customWidth="1"/>
    <col min="3851" max="3851" width="8.140625" style="1" customWidth="1"/>
    <col min="3852" max="3853" width="8.42578125" style="1" customWidth="1"/>
    <col min="3854" max="3855" width="9" style="1" customWidth="1"/>
    <col min="3856" max="3858" width="0" style="1" hidden="1" customWidth="1"/>
    <col min="3859" max="3859" width="9.85546875" style="1" customWidth="1"/>
    <col min="3860" max="3861" width="10.5703125" style="1" customWidth="1"/>
    <col min="3862" max="3862" width="10" style="1" customWidth="1"/>
    <col min="3863" max="3863" width="10.5703125" style="1" customWidth="1"/>
    <col min="3864" max="3864" width="9.28515625" style="1" customWidth="1"/>
    <col min="3865" max="3865" width="8.5703125" style="1" customWidth="1"/>
    <col min="3866" max="4100" width="9.140625" style="1"/>
    <col min="4101" max="4101" width="5.85546875" style="1" customWidth="1"/>
    <col min="4102" max="4102" width="25" style="1" customWidth="1"/>
    <col min="4103" max="4103" width="10" style="1" bestFit="1" customWidth="1"/>
    <col min="4104" max="4104" width="9.85546875" style="1" customWidth="1"/>
    <col min="4105" max="4105" width="10" style="1" bestFit="1" customWidth="1"/>
    <col min="4106" max="4106" width="9.85546875" style="1" customWidth="1"/>
    <col min="4107" max="4107" width="8.140625" style="1" customWidth="1"/>
    <col min="4108" max="4109" width="8.42578125" style="1" customWidth="1"/>
    <col min="4110" max="4111" width="9" style="1" customWidth="1"/>
    <col min="4112" max="4114" width="0" style="1" hidden="1" customWidth="1"/>
    <col min="4115" max="4115" width="9.85546875" style="1" customWidth="1"/>
    <col min="4116" max="4117" width="10.5703125" style="1" customWidth="1"/>
    <col min="4118" max="4118" width="10" style="1" customWidth="1"/>
    <col min="4119" max="4119" width="10.5703125" style="1" customWidth="1"/>
    <col min="4120" max="4120" width="9.28515625" style="1" customWidth="1"/>
    <col min="4121" max="4121" width="8.5703125" style="1" customWidth="1"/>
    <col min="4122" max="4356" width="9.140625" style="1"/>
    <col min="4357" max="4357" width="5.85546875" style="1" customWidth="1"/>
    <col min="4358" max="4358" width="25" style="1" customWidth="1"/>
    <col min="4359" max="4359" width="10" style="1" bestFit="1" customWidth="1"/>
    <col min="4360" max="4360" width="9.85546875" style="1" customWidth="1"/>
    <col min="4361" max="4361" width="10" style="1" bestFit="1" customWidth="1"/>
    <col min="4362" max="4362" width="9.85546875" style="1" customWidth="1"/>
    <col min="4363" max="4363" width="8.140625" style="1" customWidth="1"/>
    <col min="4364" max="4365" width="8.42578125" style="1" customWidth="1"/>
    <col min="4366" max="4367" width="9" style="1" customWidth="1"/>
    <col min="4368" max="4370" width="0" style="1" hidden="1" customWidth="1"/>
    <col min="4371" max="4371" width="9.85546875" style="1" customWidth="1"/>
    <col min="4372" max="4373" width="10.5703125" style="1" customWidth="1"/>
    <col min="4374" max="4374" width="10" style="1" customWidth="1"/>
    <col min="4375" max="4375" width="10.5703125" style="1" customWidth="1"/>
    <col min="4376" max="4376" width="9.28515625" style="1" customWidth="1"/>
    <col min="4377" max="4377" width="8.5703125" style="1" customWidth="1"/>
    <col min="4378" max="4612" width="9.140625" style="1"/>
    <col min="4613" max="4613" width="5.85546875" style="1" customWidth="1"/>
    <col min="4614" max="4614" width="25" style="1" customWidth="1"/>
    <col min="4615" max="4615" width="10" style="1" bestFit="1" customWidth="1"/>
    <col min="4616" max="4616" width="9.85546875" style="1" customWidth="1"/>
    <col min="4617" max="4617" width="10" style="1" bestFit="1" customWidth="1"/>
    <col min="4618" max="4618" width="9.85546875" style="1" customWidth="1"/>
    <col min="4619" max="4619" width="8.140625" style="1" customWidth="1"/>
    <col min="4620" max="4621" width="8.42578125" style="1" customWidth="1"/>
    <col min="4622" max="4623" width="9" style="1" customWidth="1"/>
    <col min="4624" max="4626" width="0" style="1" hidden="1" customWidth="1"/>
    <col min="4627" max="4627" width="9.85546875" style="1" customWidth="1"/>
    <col min="4628" max="4629" width="10.5703125" style="1" customWidth="1"/>
    <col min="4630" max="4630" width="10" style="1" customWidth="1"/>
    <col min="4631" max="4631" width="10.5703125" style="1" customWidth="1"/>
    <col min="4632" max="4632" width="9.28515625" style="1" customWidth="1"/>
    <col min="4633" max="4633" width="8.5703125" style="1" customWidth="1"/>
    <col min="4634" max="4868" width="9.140625" style="1"/>
    <col min="4869" max="4869" width="5.85546875" style="1" customWidth="1"/>
    <col min="4870" max="4870" width="25" style="1" customWidth="1"/>
    <col min="4871" max="4871" width="10" style="1" bestFit="1" customWidth="1"/>
    <col min="4872" max="4872" width="9.85546875" style="1" customWidth="1"/>
    <col min="4873" max="4873" width="10" style="1" bestFit="1" customWidth="1"/>
    <col min="4874" max="4874" width="9.85546875" style="1" customWidth="1"/>
    <col min="4875" max="4875" width="8.140625" style="1" customWidth="1"/>
    <col min="4876" max="4877" width="8.42578125" style="1" customWidth="1"/>
    <col min="4878" max="4879" width="9" style="1" customWidth="1"/>
    <col min="4880" max="4882" width="0" style="1" hidden="1" customWidth="1"/>
    <col min="4883" max="4883" width="9.85546875" style="1" customWidth="1"/>
    <col min="4884" max="4885" width="10.5703125" style="1" customWidth="1"/>
    <col min="4886" max="4886" width="10" style="1" customWidth="1"/>
    <col min="4887" max="4887" width="10.5703125" style="1" customWidth="1"/>
    <col min="4888" max="4888" width="9.28515625" style="1" customWidth="1"/>
    <col min="4889" max="4889" width="8.5703125" style="1" customWidth="1"/>
    <col min="4890" max="5124" width="9.140625" style="1"/>
    <col min="5125" max="5125" width="5.85546875" style="1" customWidth="1"/>
    <col min="5126" max="5126" width="25" style="1" customWidth="1"/>
    <col min="5127" max="5127" width="10" style="1" bestFit="1" customWidth="1"/>
    <col min="5128" max="5128" width="9.85546875" style="1" customWidth="1"/>
    <col min="5129" max="5129" width="10" style="1" bestFit="1" customWidth="1"/>
    <col min="5130" max="5130" width="9.85546875" style="1" customWidth="1"/>
    <col min="5131" max="5131" width="8.140625" style="1" customWidth="1"/>
    <col min="5132" max="5133" width="8.42578125" style="1" customWidth="1"/>
    <col min="5134" max="5135" width="9" style="1" customWidth="1"/>
    <col min="5136" max="5138" width="0" style="1" hidden="1" customWidth="1"/>
    <col min="5139" max="5139" width="9.85546875" style="1" customWidth="1"/>
    <col min="5140" max="5141" width="10.5703125" style="1" customWidth="1"/>
    <col min="5142" max="5142" width="10" style="1" customWidth="1"/>
    <col min="5143" max="5143" width="10.5703125" style="1" customWidth="1"/>
    <col min="5144" max="5144" width="9.28515625" style="1" customWidth="1"/>
    <col min="5145" max="5145" width="8.5703125" style="1" customWidth="1"/>
    <col min="5146" max="5380" width="9.140625" style="1"/>
    <col min="5381" max="5381" width="5.85546875" style="1" customWidth="1"/>
    <col min="5382" max="5382" width="25" style="1" customWidth="1"/>
    <col min="5383" max="5383" width="10" style="1" bestFit="1" customWidth="1"/>
    <col min="5384" max="5384" width="9.85546875" style="1" customWidth="1"/>
    <col min="5385" max="5385" width="10" style="1" bestFit="1" customWidth="1"/>
    <col min="5386" max="5386" width="9.85546875" style="1" customWidth="1"/>
    <col min="5387" max="5387" width="8.140625" style="1" customWidth="1"/>
    <col min="5388" max="5389" width="8.42578125" style="1" customWidth="1"/>
    <col min="5390" max="5391" width="9" style="1" customWidth="1"/>
    <col min="5392" max="5394" width="0" style="1" hidden="1" customWidth="1"/>
    <col min="5395" max="5395" width="9.85546875" style="1" customWidth="1"/>
    <col min="5396" max="5397" width="10.5703125" style="1" customWidth="1"/>
    <col min="5398" max="5398" width="10" style="1" customWidth="1"/>
    <col min="5399" max="5399" width="10.5703125" style="1" customWidth="1"/>
    <col min="5400" max="5400" width="9.28515625" style="1" customWidth="1"/>
    <col min="5401" max="5401" width="8.5703125" style="1" customWidth="1"/>
    <col min="5402" max="5636" width="9.140625" style="1"/>
    <col min="5637" max="5637" width="5.85546875" style="1" customWidth="1"/>
    <col min="5638" max="5638" width="25" style="1" customWidth="1"/>
    <col min="5639" max="5639" width="10" style="1" bestFit="1" customWidth="1"/>
    <col min="5640" max="5640" width="9.85546875" style="1" customWidth="1"/>
    <col min="5641" max="5641" width="10" style="1" bestFit="1" customWidth="1"/>
    <col min="5642" max="5642" width="9.85546875" style="1" customWidth="1"/>
    <col min="5643" max="5643" width="8.140625" style="1" customWidth="1"/>
    <col min="5644" max="5645" width="8.42578125" style="1" customWidth="1"/>
    <col min="5646" max="5647" width="9" style="1" customWidth="1"/>
    <col min="5648" max="5650" width="0" style="1" hidden="1" customWidth="1"/>
    <col min="5651" max="5651" width="9.85546875" style="1" customWidth="1"/>
    <col min="5652" max="5653" width="10.5703125" style="1" customWidth="1"/>
    <col min="5654" max="5654" width="10" style="1" customWidth="1"/>
    <col min="5655" max="5655" width="10.5703125" style="1" customWidth="1"/>
    <col min="5656" max="5656" width="9.28515625" style="1" customWidth="1"/>
    <col min="5657" max="5657" width="8.5703125" style="1" customWidth="1"/>
    <col min="5658" max="5892" width="9.140625" style="1"/>
    <col min="5893" max="5893" width="5.85546875" style="1" customWidth="1"/>
    <col min="5894" max="5894" width="25" style="1" customWidth="1"/>
    <col min="5895" max="5895" width="10" style="1" bestFit="1" customWidth="1"/>
    <col min="5896" max="5896" width="9.85546875" style="1" customWidth="1"/>
    <col min="5897" max="5897" width="10" style="1" bestFit="1" customWidth="1"/>
    <col min="5898" max="5898" width="9.85546875" style="1" customWidth="1"/>
    <col min="5899" max="5899" width="8.140625" style="1" customWidth="1"/>
    <col min="5900" max="5901" width="8.42578125" style="1" customWidth="1"/>
    <col min="5902" max="5903" width="9" style="1" customWidth="1"/>
    <col min="5904" max="5906" width="0" style="1" hidden="1" customWidth="1"/>
    <col min="5907" max="5907" width="9.85546875" style="1" customWidth="1"/>
    <col min="5908" max="5909" width="10.5703125" style="1" customWidth="1"/>
    <col min="5910" max="5910" width="10" style="1" customWidth="1"/>
    <col min="5911" max="5911" width="10.5703125" style="1" customWidth="1"/>
    <col min="5912" max="5912" width="9.28515625" style="1" customWidth="1"/>
    <col min="5913" max="5913" width="8.5703125" style="1" customWidth="1"/>
    <col min="5914" max="6148" width="9.140625" style="1"/>
    <col min="6149" max="6149" width="5.85546875" style="1" customWidth="1"/>
    <col min="6150" max="6150" width="25" style="1" customWidth="1"/>
    <col min="6151" max="6151" width="10" style="1" bestFit="1" customWidth="1"/>
    <col min="6152" max="6152" width="9.85546875" style="1" customWidth="1"/>
    <col min="6153" max="6153" width="10" style="1" bestFit="1" customWidth="1"/>
    <col min="6154" max="6154" width="9.85546875" style="1" customWidth="1"/>
    <col min="6155" max="6155" width="8.140625" style="1" customWidth="1"/>
    <col min="6156" max="6157" width="8.42578125" style="1" customWidth="1"/>
    <col min="6158" max="6159" width="9" style="1" customWidth="1"/>
    <col min="6160" max="6162" width="0" style="1" hidden="1" customWidth="1"/>
    <col min="6163" max="6163" width="9.85546875" style="1" customWidth="1"/>
    <col min="6164" max="6165" width="10.5703125" style="1" customWidth="1"/>
    <col min="6166" max="6166" width="10" style="1" customWidth="1"/>
    <col min="6167" max="6167" width="10.5703125" style="1" customWidth="1"/>
    <col min="6168" max="6168" width="9.28515625" style="1" customWidth="1"/>
    <col min="6169" max="6169" width="8.5703125" style="1" customWidth="1"/>
    <col min="6170" max="6404" width="9.140625" style="1"/>
    <col min="6405" max="6405" width="5.85546875" style="1" customWidth="1"/>
    <col min="6406" max="6406" width="25" style="1" customWidth="1"/>
    <col min="6407" max="6407" width="10" style="1" bestFit="1" customWidth="1"/>
    <col min="6408" max="6408" width="9.85546875" style="1" customWidth="1"/>
    <col min="6409" max="6409" width="10" style="1" bestFit="1" customWidth="1"/>
    <col min="6410" max="6410" width="9.85546875" style="1" customWidth="1"/>
    <col min="6411" max="6411" width="8.140625" style="1" customWidth="1"/>
    <col min="6412" max="6413" width="8.42578125" style="1" customWidth="1"/>
    <col min="6414" max="6415" width="9" style="1" customWidth="1"/>
    <col min="6416" max="6418" width="0" style="1" hidden="1" customWidth="1"/>
    <col min="6419" max="6419" width="9.85546875" style="1" customWidth="1"/>
    <col min="6420" max="6421" width="10.5703125" style="1" customWidth="1"/>
    <col min="6422" max="6422" width="10" style="1" customWidth="1"/>
    <col min="6423" max="6423" width="10.5703125" style="1" customWidth="1"/>
    <col min="6424" max="6424" width="9.28515625" style="1" customWidth="1"/>
    <col min="6425" max="6425" width="8.5703125" style="1" customWidth="1"/>
    <col min="6426" max="6660" width="9.140625" style="1"/>
    <col min="6661" max="6661" width="5.85546875" style="1" customWidth="1"/>
    <col min="6662" max="6662" width="25" style="1" customWidth="1"/>
    <col min="6663" max="6663" width="10" style="1" bestFit="1" customWidth="1"/>
    <col min="6664" max="6664" width="9.85546875" style="1" customWidth="1"/>
    <col min="6665" max="6665" width="10" style="1" bestFit="1" customWidth="1"/>
    <col min="6666" max="6666" width="9.85546875" style="1" customWidth="1"/>
    <col min="6667" max="6667" width="8.140625" style="1" customWidth="1"/>
    <col min="6668" max="6669" width="8.42578125" style="1" customWidth="1"/>
    <col min="6670" max="6671" width="9" style="1" customWidth="1"/>
    <col min="6672" max="6674" width="0" style="1" hidden="1" customWidth="1"/>
    <col min="6675" max="6675" width="9.85546875" style="1" customWidth="1"/>
    <col min="6676" max="6677" width="10.5703125" style="1" customWidth="1"/>
    <col min="6678" max="6678" width="10" style="1" customWidth="1"/>
    <col min="6679" max="6679" width="10.5703125" style="1" customWidth="1"/>
    <col min="6680" max="6680" width="9.28515625" style="1" customWidth="1"/>
    <col min="6681" max="6681" width="8.5703125" style="1" customWidth="1"/>
    <col min="6682" max="6916" width="9.140625" style="1"/>
    <col min="6917" max="6917" width="5.85546875" style="1" customWidth="1"/>
    <col min="6918" max="6918" width="25" style="1" customWidth="1"/>
    <col min="6919" max="6919" width="10" style="1" bestFit="1" customWidth="1"/>
    <col min="6920" max="6920" width="9.85546875" style="1" customWidth="1"/>
    <col min="6921" max="6921" width="10" style="1" bestFit="1" customWidth="1"/>
    <col min="6922" max="6922" width="9.85546875" style="1" customWidth="1"/>
    <col min="6923" max="6923" width="8.140625" style="1" customWidth="1"/>
    <col min="6924" max="6925" width="8.42578125" style="1" customWidth="1"/>
    <col min="6926" max="6927" width="9" style="1" customWidth="1"/>
    <col min="6928" max="6930" width="0" style="1" hidden="1" customWidth="1"/>
    <col min="6931" max="6931" width="9.85546875" style="1" customWidth="1"/>
    <col min="6932" max="6933" width="10.5703125" style="1" customWidth="1"/>
    <col min="6934" max="6934" width="10" style="1" customWidth="1"/>
    <col min="6935" max="6935" width="10.5703125" style="1" customWidth="1"/>
    <col min="6936" max="6936" width="9.28515625" style="1" customWidth="1"/>
    <col min="6937" max="6937" width="8.5703125" style="1" customWidth="1"/>
    <col min="6938" max="7172" width="9.140625" style="1"/>
    <col min="7173" max="7173" width="5.85546875" style="1" customWidth="1"/>
    <col min="7174" max="7174" width="25" style="1" customWidth="1"/>
    <col min="7175" max="7175" width="10" style="1" bestFit="1" customWidth="1"/>
    <col min="7176" max="7176" width="9.85546875" style="1" customWidth="1"/>
    <col min="7177" max="7177" width="10" style="1" bestFit="1" customWidth="1"/>
    <col min="7178" max="7178" width="9.85546875" style="1" customWidth="1"/>
    <col min="7179" max="7179" width="8.140625" style="1" customWidth="1"/>
    <col min="7180" max="7181" width="8.42578125" style="1" customWidth="1"/>
    <col min="7182" max="7183" width="9" style="1" customWidth="1"/>
    <col min="7184" max="7186" width="0" style="1" hidden="1" customWidth="1"/>
    <col min="7187" max="7187" width="9.85546875" style="1" customWidth="1"/>
    <col min="7188" max="7189" width="10.5703125" style="1" customWidth="1"/>
    <col min="7190" max="7190" width="10" style="1" customWidth="1"/>
    <col min="7191" max="7191" width="10.5703125" style="1" customWidth="1"/>
    <col min="7192" max="7192" width="9.28515625" style="1" customWidth="1"/>
    <col min="7193" max="7193" width="8.5703125" style="1" customWidth="1"/>
    <col min="7194" max="7428" width="9.140625" style="1"/>
    <col min="7429" max="7429" width="5.85546875" style="1" customWidth="1"/>
    <col min="7430" max="7430" width="25" style="1" customWidth="1"/>
    <col min="7431" max="7431" width="10" style="1" bestFit="1" customWidth="1"/>
    <col min="7432" max="7432" width="9.85546875" style="1" customWidth="1"/>
    <col min="7433" max="7433" width="10" style="1" bestFit="1" customWidth="1"/>
    <col min="7434" max="7434" width="9.85546875" style="1" customWidth="1"/>
    <col min="7435" max="7435" width="8.140625" style="1" customWidth="1"/>
    <col min="7436" max="7437" width="8.42578125" style="1" customWidth="1"/>
    <col min="7438" max="7439" width="9" style="1" customWidth="1"/>
    <col min="7440" max="7442" width="0" style="1" hidden="1" customWidth="1"/>
    <col min="7443" max="7443" width="9.85546875" style="1" customWidth="1"/>
    <col min="7444" max="7445" width="10.5703125" style="1" customWidth="1"/>
    <col min="7446" max="7446" width="10" style="1" customWidth="1"/>
    <col min="7447" max="7447" width="10.5703125" style="1" customWidth="1"/>
    <col min="7448" max="7448" width="9.28515625" style="1" customWidth="1"/>
    <col min="7449" max="7449" width="8.5703125" style="1" customWidth="1"/>
    <col min="7450" max="7684" width="9.140625" style="1"/>
    <col min="7685" max="7685" width="5.85546875" style="1" customWidth="1"/>
    <col min="7686" max="7686" width="25" style="1" customWidth="1"/>
    <col min="7687" max="7687" width="10" style="1" bestFit="1" customWidth="1"/>
    <col min="7688" max="7688" width="9.85546875" style="1" customWidth="1"/>
    <col min="7689" max="7689" width="10" style="1" bestFit="1" customWidth="1"/>
    <col min="7690" max="7690" width="9.85546875" style="1" customWidth="1"/>
    <col min="7691" max="7691" width="8.140625" style="1" customWidth="1"/>
    <col min="7692" max="7693" width="8.42578125" style="1" customWidth="1"/>
    <col min="7694" max="7695" width="9" style="1" customWidth="1"/>
    <col min="7696" max="7698" width="0" style="1" hidden="1" customWidth="1"/>
    <col min="7699" max="7699" width="9.85546875" style="1" customWidth="1"/>
    <col min="7700" max="7701" width="10.5703125" style="1" customWidth="1"/>
    <col min="7702" max="7702" width="10" style="1" customWidth="1"/>
    <col min="7703" max="7703" width="10.5703125" style="1" customWidth="1"/>
    <col min="7704" max="7704" width="9.28515625" style="1" customWidth="1"/>
    <col min="7705" max="7705" width="8.5703125" style="1" customWidth="1"/>
    <col min="7706" max="7940" width="9.140625" style="1"/>
    <col min="7941" max="7941" width="5.85546875" style="1" customWidth="1"/>
    <col min="7942" max="7942" width="25" style="1" customWidth="1"/>
    <col min="7943" max="7943" width="10" style="1" bestFit="1" customWidth="1"/>
    <col min="7944" max="7944" width="9.85546875" style="1" customWidth="1"/>
    <col min="7945" max="7945" width="10" style="1" bestFit="1" customWidth="1"/>
    <col min="7946" max="7946" width="9.85546875" style="1" customWidth="1"/>
    <col min="7947" max="7947" width="8.140625" style="1" customWidth="1"/>
    <col min="7948" max="7949" width="8.42578125" style="1" customWidth="1"/>
    <col min="7950" max="7951" width="9" style="1" customWidth="1"/>
    <col min="7952" max="7954" width="0" style="1" hidden="1" customWidth="1"/>
    <col min="7955" max="7955" width="9.85546875" style="1" customWidth="1"/>
    <col min="7956" max="7957" width="10.5703125" style="1" customWidth="1"/>
    <col min="7958" max="7958" width="10" style="1" customWidth="1"/>
    <col min="7959" max="7959" width="10.5703125" style="1" customWidth="1"/>
    <col min="7960" max="7960" width="9.28515625" style="1" customWidth="1"/>
    <col min="7961" max="7961" width="8.5703125" style="1" customWidth="1"/>
    <col min="7962" max="8196" width="9.140625" style="1"/>
    <col min="8197" max="8197" width="5.85546875" style="1" customWidth="1"/>
    <col min="8198" max="8198" width="25" style="1" customWidth="1"/>
    <col min="8199" max="8199" width="10" style="1" bestFit="1" customWidth="1"/>
    <col min="8200" max="8200" width="9.85546875" style="1" customWidth="1"/>
    <col min="8201" max="8201" width="10" style="1" bestFit="1" customWidth="1"/>
    <col min="8202" max="8202" width="9.85546875" style="1" customWidth="1"/>
    <col min="8203" max="8203" width="8.140625" style="1" customWidth="1"/>
    <col min="8204" max="8205" width="8.42578125" style="1" customWidth="1"/>
    <col min="8206" max="8207" width="9" style="1" customWidth="1"/>
    <col min="8208" max="8210" width="0" style="1" hidden="1" customWidth="1"/>
    <col min="8211" max="8211" width="9.85546875" style="1" customWidth="1"/>
    <col min="8212" max="8213" width="10.5703125" style="1" customWidth="1"/>
    <col min="8214" max="8214" width="10" style="1" customWidth="1"/>
    <col min="8215" max="8215" width="10.5703125" style="1" customWidth="1"/>
    <col min="8216" max="8216" width="9.28515625" style="1" customWidth="1"/>
    <col min="8217" max="8217" width="8.5703125" style="1" customWidth="1"/>
    <col min="8218" max="8452" width="9.140625" style="1"/>
    <col min="8453" max="8453" width="5.85546875" style="1" customWidth="1"/>
    <col min="8454" max="8454" width="25" style="1" customWidth="1"/>
    <col min="8455" max="8455" width="10" style="1" bestFit="1" customWidth="1"/>
    <col min="8456" max="8456" width="9.85546875" style="1" customWidth="1"/>
    <col min="8457" max="8457" width="10" style="1" bestFit="1" customWidth="1"/>
    <col min="8458" max="8458" width="9.85546875" style="1" customWidth="1"/>
    <col min="8459" max="8459" width="8.140625" style="1" customWidth="1"/>
    <col min="8460" max="8461" width="8.42578125" style="1" customWidth="1"/>
    <col min="8462" max="8463" width="9" style="1" customWidth="1"/>
    <col min="8464" max="8466" width="0" style="1" hidden="1" customWidth="1"/>
    <col min="8467" max="8467" width="9.85546875" style="1" customWidth="1"/>
    <col min="8468" max="8469" width="10.5703125" style="1" customWidth="1"/>
    <col min="8470" max="8470" width="10" style="1" customWidth="1"/>
    <col min="8471" max="8471" width="10.5703125" style="1" customWidth="1"/>
    <col min="8472" max="8472" width="9.28515625" style="1" customWidth="1"/>
    <col min="8473" max="8473" width="8.5703125" style="1" customWidth="1"/>
    <col min="8474" max="8708" width="9.140625" style="1"/>
    <col min="8709" max="8709" width="5.85546875" style="1" customWidth="1"/>
    <col min="8710" max="8710" width="25" style="1" customWidth="1"/>
    <col min="8711" max="8711" width="10" style="1" bestFit="1" customWidth="1"/>
    <col min="8712" max="8712" width="9.85546875" style="1" customWidth="1"/>
    <col min="8713" max="8713" width="10" style="1" bestFit="1" customWidth="1"/>
    <col min="8714" max="8714" width="9.85546875" style="1" customWidth="1"/>
    <col min="8715" max="8715" width="8.140625" style="1" customWidth="1"/>
    <col min="8716" max="8717" width="8.42578125" style="1" customWidth="1"/>
    <col min="8718" max="8719" width="9" style="1" customWidth="1"/>
    <col min="8720" max="8722" width="0" style="1" hidden="1" customWidth="1"/>
    <col min="8723" max="8723" width="9.85546875" style="1" customWidth="1"/>
    <col min="8724" max="8725" width="10.5703125" style="1" customWidth="1"/>
    <col min="8726" max="8726" width="10" style="1" customWidth="1"/>
    <col min="8727" max="8727" width="10.5703125" style="1" customWidth="1"/>
    <col min="8728" max="8728" width="9.28515625" style="1" customWidth="1"/>
    <col min="8729" max="8729" width="8.5703125" style="1" customWidth="1"/>
    <col min="8730" max="8964" width="9.140625" style="1"/>
    <col min="8965" max="8965" width="5.85546875" style="1" customWidth="1"/>
    <col min="8966" max="8966" width="25" style="1" customWidth="1"/>
    <col min="8967" max="8967" width="10" style="1" bestFit="1" customWidth="1"/>
    <col min="8968" max="8968" width="9.85546875" style="1" customWidth="1"/>
    <col min="8969" max="8969" width="10" style="1" bestFit="1" customWidth="1"/>
    <col min="8970" max="8970" width="9.85546875" style="1" customWidth="1"/>
    <col min="8971" max="8971" width="8.140625" style="1" customWidth="1"/>
    <col min="8972" max="8973" width="8.42578125" style="1" customWidth="1"/>
    <col min="8974" max="8975" width="9" style="1" customWidth="1"/>
    <col min="8976" max="8978" width="0" style="1" hidden="1" customWidth="1"/>
    <col min="8979" max="8979" width="9.85546875" style="1" customWidth="1"/>
    <col min="8980" max="8981" width="10.5703125" style="1" customWidth="1"/>
    <col min="8982" max="8982" width="10" style="1" customWidth="1"/>
    <col min="8983" max="8983" width="10.5703125" style="1" customWidth="1"/>
    <col min="8984" max="8984" width="9.28515625" style="1" customWidth="1"/>
    <col min="8985" max="8985" width="8.5703125" style="1" customWidth="1"/>
    <col min="8986" max="9220" width="9.140625" style="1"/>
    <col min="9221" max="9221" width="5.85546875" style="1" customWidth="1"/>
    <col min="9222" max="9222" width="25" style="1" customWidth="1"/>
    <col min="9223" max="9223" width="10" style="1" bestFit="1" customWidth="1"/>
    <col min="9224" max="9224" width="9.85546875" style="1" customWidth="1"/>
    <col min="9225" max="9225" width="10" style="1" bestFit="1" customWidth="1"/>
    <col min="9226" max="9226" width="9.85546875" style="1" customWidth="1"/>
    <col min="9227" max="9227" width="8.140625" style="1" customWidth="1"/>
    <col min="9228" max="9229" width="8.42578125" style="1" customWidth="1"/>
    <col min="9230" max="9231" width="9" style="1" customWidth="1"/>
    <col min="9232" max="9234" width="0" style="1" hidden="1" customWidth="1"/>
    <col min="9235" max="9235" width="9.85546875" style="1" customWidth="1"/>
    <col min="9236" max="9237" width="10.5703125" style="1" customWidth="1"/>
    <col min="9238" max="9238" width="10" style="1" customWidth="1"/>
    <col min="9239" max="9239" width="10.5703125" style="1" customWidth="1"/>
    <col min="9240" max="9240" width="9.28515625" style="1" customWidth="1"/>
    <col min="9241" max="9241" width="8.5703125" style="1" customWidth="1"/>
    <col min="9242" max="9476" width="9.140625" style="1"/>
    <col min="9477" max="9477" width="5.85546875" style="1" customWidth="1"/>
    <col min="9478" max="9478" width="25" style="1" customWidth="1"/>
    <col min="9479" max="9479" width="10" style="1" bestFit="1" customWidth="1"/>
    <col min="9480" max="9480" width="9.85546875" style="1" customWidth="1"/>
    <col min="9481" max="9481" width="10" style="1" bestFit="1" customWidth="1"/>
    <col min="9482" max="9482" width="9.85546875" style="1" customWidth="1"/>
    <col min="9483" max="9483" width="8.140625" style="1" customWidth="1"/>
    <col min="9484" max="9485" width="8.42578125" style="1" customWidth="1"/>
    <col min="9486" max="9487" width="9" style="1" customWidth="1"/>
    <col min="9488" max="9490" width="0" style="1" hidden="1" customWidth="1"/>
    <col min="9491" max="9491" width="9.85546875" style="1" customWidth="1"/>
    <col min="9492" max="9493" width="10.5703125" style="1" customWidth="1"/>
    <col min="9494" max="9494" width="10" style="1" customWidth="1"/>
    <col min="9495" max="9495" width="10.5703125" style="1" customWidth="1"/>
    <col min="9496" max="9496" width="9.28515625" style="1" customWidth="1"/>
    <col min="9497" max="9497" width="8.5703125" style="1" customWidth="1"/>
    <col min="9498" max="9732" width="9.140625" style="1"/>
    <col min="9733" max="9733" width="5.85546875" style="1" customWidth="1"/>
    <col min="9734" max="9734" width="25" style="1" customWidth="1"/>
    <col min="9735" max="9735" width="10" style="1" bestFit="1" customWidth="1"/>
    <col min="9736" max="9736" width="9.85546875" style="1" customWidth="1"/>
    <col min="9737" max="9737" width="10" style="1" bestFit="1" customWidth="1"/>
    <col min="9738" max="9738" width="9.85546875" style="1" customWidth="1"/>
    <col min="9739" max="9739" width="8.140625" style="1" customWidth="1"/>
    <col min="9740" max="9741" width="8.42578125" style="1" customWidth="1"/>
    <col min="9742" max="9743" width="9" style="1" customWidth="1"/>
    <col min="9744" max="9746" width="0" style="1" hidden="1" customWidth="1"/>
    <col min="9747" max="9747" width="9.85546875" style="1" customWidth="1"/>
    <col min="9748" max="9749" width="10.5703125" style="1" customWidth="1"/>
    <col min="9750" max="9750" width="10" style="1" customWidth="1"/>
    <col min="9751" max="9751" width="10.5703125" style="1" customWidth="1"/>
    <col min="9752" max="9752" width="9.28515625" style="1" customWidth="1"/>
    <col min="9753" max="9753" width="8.5703125" style="1" customWidth="1"/>
    <col min="9754" max="9988" width="9.140625" style="1"/>
    <col min="9989" max="9989" width="5.85546875" style="1" customWidth="1"/>
    <col min="9990" max="9990" width="25" style="1" customWidth="1"/>
    <col min="9991" max="9991" width="10" style="1" bestFit="1" customWidth="1"/>
    <col min="9992" max="9992" width="9.85546875" style="1" customWidth="1"/>
    <col min="9993" max="9993" width="10" style="1" bestFit="1" customWidth="1"/>
    <col min="9994" max="9994" width="9.85546875" style="1" customWidth="1"/>
    <col min="9995" max="9995" width="8.140625" style="1" customWidth="1"/>
    <col min="9996" max="9997" width="8.42578125" style="1" customWidth="1"/>
    <col min="9998" max="9999" width="9" style="1" customWidth="1"/>
    <col min="10000" max="10002" width="0" style="1" hidden="1" customWidth="1"/>
    <col min="10003" max="10003" width="9.85546875" style="1" customWidth="1"/>
    <col min="10004" max="10005" width="10.5703125" style="1" customWidth="1"/>
    <col min="10006" max="10006" width="10" style="1" customWidth="1"/>
    <col min="10007" max="10007" width="10.5703125" style="1" customWidth="1"/>
    <col min="10008" max="10008" width="9.28515625" style="1" customWidth="1"/>
    <col min="10009" max="10009" width="8.5703125" style="1" customWidth="1"/>
    <col min="10010" max="10244" width="9.140625" style="1"/>
    <col min="10245" max="10245" width="5.85546875" style="1" customWidth="1"/>
    <col min="10246" max="10246" width="25" style="1" customWidth="1"/>
    <col min="10247" max="10247" width="10" style="1" bestFit="1" customWidth="1"/>
    <col min="10248" max="10248" width="9.85546875" style="1" customWidth="1"/>
    <col min="10249" max="10249" width="10" style="1" bestFit="1" customWidth="1"/>
    <col min="10250" max="10250" width="9.85546875" style="1" customWidth="1"/>
    <col min="10251" max="10251" width="8.140625" style="1" customWidth="1"/>
    <col min="10252" max="10253" width="8.42578125" style="1" customWidth="1"/>
    <col min="10254" max="10255" width="9" style="1" customWidth="1"/>
    <col min="10256" max="10258" width="0" style="1" hidden="1" customWidth="1"/>
    <col min="10259" max="10259" width="9.85546875" style="1" customWidth="1"/>
    <col min="10260" max="10261" width="10.5703125" style="1" customWidth="1"/>
    <col min="10262" max="10262" width="10" style="1" customWidth="1"/>
    <col min="10263" max="10263" width="10.5703125" style="1" customWidth="1"/>
    <col min="10264" max="10264" width="9.28515625" style="1" customWidth="1"/>
    <col min="10265" max="10265" width="8.5703125" style="1" customWidth="1"/>
    <col min="10266" max="10500" width="9.140625" style="1"/>
    <col min="10501" max="10501" width="5.85546875" style="1" customWidth="1"/>
    <col min="10502" max="10502" width="25" style="1" customWidth="1"/>
    <col min="10503" max="10503" width="10" style="1" bestFit="1" customWidth="1"/>
    <col min="10504" max="10504" width="9.85546875" style="1" customWidth="1"/>
    <col min="10505" max="10505" width="10" style="1" bestFit="1" customWidth="1"/>
    <col min="10506" max="10506" width="9.85546875" style="1" customWidth="1"/>
    <col min="10507" max="10507" width="8.140625" style="1" customWidth="1"/>
    <col min="10508" max="10509" width="8.42578125" style="1" customWidth="1"/>
    <col min="10510" max="10511" width="9" style="1" customWidth="1"/>
    <col min="10512" max="10514" width="0" style="1" hidden="1" customWidth="1"/>
    <col min="10515" max="10515" width="9.85546875" style="1" customWidth="1"/>
    <col min="10516" max="10517" width="10.5703125" style="1" customWidth="1"/>
    <col min="10518" max="10518" width="10" style="1" customWidth="1"/>
    <col min="10519" max="10519" width="10.5703125" style="1" customWidth="1"/>
    <col min="10520" max="10520" width="9.28515625" style="1" customWidth="1"/>
    <col min="10521" max="10521" width="8.5703125" style="1" customWidth="1"/>
    <col min="10522" max="10756" width="9.140625" style="1"/>
    <col min="10757" max="10757" width="5.85546875" style="1" customWidth="1"/>
    <col min="10758" max="10758" width="25" style="1" customWidth="1"/>
    <col min="10759" max="10759" width="10" style="1" bestFit="1" customWidth="1"/>
    <col min="10760" max="10760" width="9.85546875" style="1" customWidth="1"/>
    <col min="10761" max="10761" width="10" style="1" bestFit="1" customWidth="1"/>
    <col min="10762" max="10762" width="9.85546875" style="1" customWidth="1"/>
    <col min="10763" max="10763" width="8.140625" style="1" customWidth="1"/>
    <col min="10764" max="10765" width="8.42578125" style="1" customWidth="1"/>
    <col min="10766" max="10767" width="9" style="1" customWidth="1"/>
    <col min="10768" max="10770" width="0" style="1" hidden="1" customWidth="1"/>
    <col min="10771" max="10771" width="9.85546875" style="1" customWidth="1"/>
    <col min="10772" max="10773" width="10.5703125" style="1" customWidth="1"/>
    <col min="10774" max="10774" width="10" style="1" customWidth="1"/>
    <col min="10775" max="10775" width="10.5703125" style="1" customWidth="1"/>
    <col min="10776" max="10776" width="9.28515625" style="1" customWidth="1"/>
    <col min="10777" max="10777" width="8.5703125" style="1" customWidth="1"/>
    <col min="10778" max="11012" width="9.140625" style="1"/>
    <col min="11013" max="11013" width="5.85546875" style="1" customWidth="1"/>
    <col min="11014" max="11014" width="25" style="1" customWidth="1"/>
    <col min="11015" max="11015" width="10" style="1" bestFit="1" customWidth="1"/>
    <col min="11016" max="11016" width="9.85546875" style="1" customWidth="1"/>
    <col min="11017" max="11017" width="10" style="1" bestFit="1" customWidth="1"/>
    <col min="11018" max="11018" width="9.85546875" style="1" customWidth="1"/>
    <col min="11019" max="11019" width="8.140625" style="1" customWidth="1"/>
    <col min="11020" max="11021" width="8.42578125" style="1" customWidth="1"/>
    <col min="11022" max="11023" width="9" style="1" customWidth="1"/>
    <col min="11024" max="11026" width="0" style="1" hidden="1" customWidth="1"/>
    <col min="11027" max="11027" width="9.85546875" style="1" customWidth="1"/>
    <col min="11028" max="11029" width="10.5703125" style="1" customWidth="1"/>
    <col min="11030" max="11030" width="10" style="1" customWidth="1"/>
    <col min="11031" max="11031" width="10.5703125" style="1" customWidth="1"/>
    <col min="11032" max="11032" width="9.28515625" style="1" customWidth="1"/>
    <col min="11033" max="11033" width="8.5703125" style="1" customWidth="1"/>
    <col min="11034" max="11268" width="9.140625" style="1"/>
    <col min="11269" max="11269" width="5.85546875" style="1" customWidth="1"/>
    <col min="11270" max="11270" width="25" style="1" customWidth="1"/>
    <col min="11271" max="11271" width="10" style="1" bestFit="1" customWidth="1"/>
    <col min="11272" max="11272" width="9.85546875" style="1" customWidth="1"/>
    <col min="11273" max="11273" width="10" style="1" bestFit="1" customWidth="1"/>
    <col min="11274" max="11274" width="9.85546875" style="1" customWidth="1"/>
    <col min="11275" max="11275" width="8.140625" style="1" customWidth="1"/>
    <col min="11276" max="11277" width="8.42578125" style="1" customWidth="1"/>
    <col min="11278" max="11279" width="9" style="1" customWidth="1"/>
    <col min="11280" max="11282" width="0" style="1" hidden="1" customWidth="1"/>
    <col min="11283" max="11283" width="9.85546875" style="1" customWidth="1"/>
    <col min="11284" max="11285" width="10.5703125" style="1" customWidth="1"/>
    <col min="11286" max="11286" width="10" style="1" customWidth="1"/>
    <col min="11287" max="11287" width="10.5703125" style="1" customWidth="1"/>
    <col min="11288" max="11288" width="9.28515625" style="1" customWidth="1"/>
    <col min="11289" max="11289" width="8.5703125" style="1" customWidth="1"/>
    <col min="11290" max="11524" width="9.140625" style="1"/>
    <col min="11525" max="11525" width="5.85546875" style="1" customWidth="1"/>
    <col min="11526" max="11526" width="25" style="1" customWidth="1"/>
    <col min="11527" max="11527" width="10" style="1" bestFit="1" customWidth="1"/>
    <col min="11528" max="11528" width="9.85546875" style="1" customWidth="1"/>
    <col min="11529" max="11529" width="10" style="1" bestFit="1" customWidth="1"/>
    <col min="11530" max="11530" width="9.85546875" style="1" customWidth="1"/>
    <col min="11531" max="11531" width="8.140625" style="1" customWidth="1"/>
    <col min="11532" max="11533" width="8.42578125" style="1" customWidth="1"/>
    <col min="11534" max="11535" width="9" style="1" customWidth="1"/>
    <col min="11536" max="11538" width="0" style="1" hidden="1" customWidth="1"/>
    <col min="11539" max="11539" width="9.85546875" style="1" customWidth="1"/>
    <col min="11540" max="11541" width="10.5703125" style="1" customWidth="1"/>
    <col min="11542" max="11542" width="10" style="1" customWidth="1"/>
    <col min="11543" max="11543" width="10.5703125" style="1" customWidth="1"/>
    <col min="11544" max="11544" width="9.28515625" style="1" customWidth="1"/>
    <col min="11545" max="11545" width="8.5703125" style="1" customWidth="1"/>
    <col min="11546" max="11780" width="9.140625" style="1"/>
    <col min="11781" max="11781" width="5.85546875" style="1" customWidth="1"/>
    <col min="11782" max="11782" width="25" style="1" customWidth="1"/>
    <col min="11783" max="11783" width="10" style="1" bestFit="1" customWidth="1"/>
    <col min="11784" max="11784" width="9.85546875" style="1" customWidth="1"/>
    <col min="11785" max="11785" width="10" style="1" bestFit="1" customWidth="1"/>
    <col min="11786" max="11786" width="9.85546875" style="1" customWidth="1"/>
    <col min="11787" max="11787" width="8.140625" style="1" customWidth="1"/>
    <col min="11788" max="11789" width="8.42578125" style="1" customWidth="1"/>
    <col min="11790" max="11791" width="9" style="1" customWidth="1"/>
    <col min="11792" max="11794" width="0" style="1" hidden="1" customWidth="1"/>
    <col min="11795" max="11795" width="9.85546875" style="1" customWidth="1"/>
    <col min="11796" max="11797" width="10.5703125" style="1" customWidth="1"/>
    <col min="11798" max="11798" width="10" style="1" customWidth="1"/>
    <col min="11799" max="11799" width="10.5703125" style="1" customWidth="1"/>
    <col min="11800" max="11800" width="9.28515625" style="1" customWidth="1"/>
    <col min="11801" max="11801" width="8.5703125" style="1" customWidth="1"/>
    <col min="11802" max="12036" width="9.140625" style="1"/>
    <col min="12037" max="12037" width="5.85546875" style="1" customWidth="1"/>
    <col min="12038" max="12038" width="25" style="1" customWidth="1"/>
    <col min="12039" max="12039" width="10" style="1" bestFit="1" customWidth="1"/>
    <col min="12040" max="12040" width="9.85546875" style="1" customWidth="1"/>
    <col min="12041" max="12041" width="10" style="1" bestFit="1" customWidth="1"/>
    <col min="12042" max="12042" width="9.85546875" style="1" customWidth="1"/>
    <col min="12043" max="12043" width="8.140625" style="1" customWidth="1"/>
    <col min="12044" max="12045" width="8.42578125" style="1" customWidth="1"/>
    <col min="12046" max="12047" width="9" style="1" customWidth="1"/>
    <col min="12048" max="12050" width="0" style="1" hidden="1" customWidth="1"/>
    <col min="12051" max="12051" width="9.85546875" style="1" customWidth="1"/>
    <col min="12052" max="12053" width="10.5703125" style="1" customWidth="1"/>
    <col min="12054" max="12054" width="10" style="1" customWidth="1"/>
    <col min="12055" max="12055" width="10.5703125" style="1" customWidth="1"/>
    <col min="12056" max="12056" width="9.28515625" style="1" customWidth="1"/>
    <col min="12057" max="12057" width="8.5703125" style="1" customWidth="1"/>
    <col min="12058" max="12292" width="9.140625" style="1"/>
    <col min="12293" max="12293" width="5.85546875" style="1" customWidth="1"/>
    <col min="12294" max="12294" width="25" style="1" customWidth="1"/>
    <col min="12295" max="12295" width="10" style="1" bestFit="1" customWidth="1"/>
    <col min="12296" max="12296" width="9.85546875" style="1" customWidth="1"/>
    <col min="12297" max="12297" width="10" style="1" bestFit="1" customWidth="1"/>
    <col min="12298" max="12298" width="9.85546875" style="1" customWidth="1"/>
    <col min="12299" max="12299" width="8.140625" style="1" customWidth="1"/>
    <col min="12300" max="12301" width="8.42578125" style="1" customWidth="1"/>
    <col min="12302" max="12303" width="9" style="1" customWidth="1"/>
    <col min="12304" max="12306" width="0" style="1" hidden="1" customWidth="1"/>
    <col min="12307" max="12307" width="9.85546875" style="1" customWidth="1"/>
    <col min="12308" max="12309" width="10.5703125" style="1" customWidth="1"/>
    <col min="12310" max="12310" width="10" style="1" customWidth="1"/>
    <col min="12311" max="12311" width="10.5703125" style="1" customWidth="1"/>
    <col min="12312" max="12312" width="9.28515625" style="1" customWidth="1"/>
    <col min="12313" max="12313" width="8.5703125" style="1" customWidth="1"/>
    <col min="12314" max="12548" width="9.140625" style="1"/>
    <col min="12549" max="12549" width="5.85546875" style="1" customWidth="1"/>
    <col min="12550" max="12550" width="25" style="1" customWidth="1"/>
    <col min="12551" max="12551" width="10" style="1" bestFit="1" customWidth="1"/>
    <col min="12552" max="12552" width="9.85546875" style="1" customWidth="1"/>
    <col min="12553" max="12553" width="10" style="1" bestFit="1" customWidth="1"/>
    <col min="12554" max="12554" width="9.85546875" style="1" customWidth="1"/>
    <col min="12555" max="12555" width="8.140625" style="1" customWidth="1"/>
    <col min="12556" max="12557" width="8.42578125" style="1" customWidth="1"/>
    <col min="12558" max="12559" width="9" style="1" customWidth="1"/>
    <col min="12560" max="12562" width="0" style="1" hidden="1" customWidth="1"/>
    <col min="12563" max="12563" width="9.85546875" style="1" customWidth="1"/>
    <col min="12564" max="12565" width="10.5703125" style="1" customWidth="1"/>
    <col min="12566" max="12566" width="10" style="1" customWidth="1"/>
    <col min="12567" max="12567" width="10.5703125" style="1" customWidth="1"/>
    <col min="12568" max="12568" width="9.28515625" style="1" customWidth="1"/>
    <col min="12569" max="12569" width="8.5703125" style="1" customWidth="1"/>
    <col min="12570" max="12804" width="9.140625" style="1"/>
    <col min="12805" max="12805" width="5.85546875" style="1" customWidth="1"/>
    <col min="12806" max="12806" width="25" style="1" customWidth="1"/>
    <col min="12807" max="12807" width="10" style="1" bestFit="1" customWidth="1"/>
    <col min="12808" max="12808" width="9.85546875" style="1" customWidth="1"/>
    <col min="12809" max="12809" width="10" style="1" bestFit="1" customWidth="1"/>
    <col min="12810" max="12810" width="9.85546875" style="1" customWidth="1"/>
    <col min="12811" max="12811" width="8.140625" style="1" customWidth="1"/>
    <col min="12812" max="12813" width="8.42578125" style="1" customWidth="1"/>
    <col min="12814" max="12815" width="9" style="1" customWidth="1"/>
    <col min="12816" max="12818" width="0" style="1" hidden="1" customWidth="1"/>
    <col min="12819" max="12819" width="9.85546875" style="1" customWidth="1"/>
    <col min="12820" max="12821" width="10.5703125" style="1" customWidth="1"/>
    <col min="12822" max="12822" width="10" style="1" customWidth="1"/>
    <col min="12823" max="12823" width="10.5703125" style="1" customWidth="1"/>
    <col min="12824" max="12824" width="9.28515625" style="1" customWidth="1"/>
    <col min="12825" max="12825" width="8.5703125" style="1" customWidth="1"/>
    <col min="12826" max="13060" width="9.140625" style="1"/>
    <col min="13061" max="13061" width="5.85546875" style="1" customWidth="1"/>
    <col min="13062" max="13062" width="25" style="1" customWidth="1"/>
    <col min="13063" max="13063" width="10" style="1" bestFit="1" customWidth="1"/>
    <col min="13064" max="13064" width="9.85546875" style="1" customWidth="1"/>
    <col min="13065" max="13065" width="10" style="1" bestFit="1" customWidth="1"/>
    <col min="13066" max="13066" width="9.85546875" style="1" customWidth="1"/>
    <col min="13067" max="13067" width="8.140625" style="1" customWidth="1"/>
    <col min="13068" max="13069" width="8.42578125" style="1" customWidth="1"/>
    <col min="13070" max="13071" width="9" style="1" customWidth="1"/>
    <col min="13072" max="13074" width="0" style="1" hidden="1" customWidth="1"/>
    <col min="13075" max="13075" width="9.85546875" style="1" customWidth="1"/>
    <col min="13076" max="13077" width="10.5703125" style="1" customWidth="1"/>
    <col min="13078" max="13078" width="10" style="1" customWidth="1"/>
    <col min="13079" max="13079" width="10.5703125" style="1" customWidth="1"/>
    <col min="13080" max="13080" width="9.28515625" style="1" customWidth="1"/>
    <col min="13081" max="13081" width="8.5703125" style="1" customWidth="1"/>
    <col min="13082" max="13316" width="9.140625" style="1"/>
    <col min="13317" max="13317" width="5.85546875" style="1" customWidth="1"/>
    <col min="13318" max="13318" width="25" style="1" customWidth="1"/>
    <col min="13319" max="13319" width="10" style="1" bestFit="1" customWidth="1"/>
    <col min="13320" max="13320" width="9.85546875" style="1" customWidth="1"/>
    <col min="13321" max="13321" width="10" style="1" bestFit="1" customWidth="1"/>
    <col min="13322" max="13322" width="9.85546875" style="1" customWidth="1"/>
    <col min="13323" max="13323" width="8.140625" style="1" customWidth="1"/>
    <col min="13324" max="13325" width="8.42578125" style="1" customWidth="1"/>
    <col min="13326" max="13327" width="9" style="1" customWidth="1"/>
    <col min="13328" max="13330" width="0" style="1" hidden="1" customWidth="1"/>
    <col min="13331" max="13331" width="9.85546875" style="1" customWidth="1"/>
    <col min="13332" max="13333" width="10.5703125" style="1" customWidth="1"/>
    <col min="13334" max="13334" width="10" style="1" customWidth="1"/>
    <col min="13335" max="13335" width="10.5703125" style="1" customWidth="1"/>
    <col min="13336" max="13336" width="9.28515625" style="1" customWidth="1"/>
    <col min="13337" max="13337" width="8.5703125" style="1" customWidth="1"/>
    <col min="13338" max="13572" width="9.140625" style="1"/>
    <col min="13573" max="13573" width="5.85546875" style="1" customWidth="1"/>
    <col min="13574" max="13574" width="25" style="1" customWidth="1"/>
    <col min="13575" max="13575" width="10" style="1" bestFit="1" customWidth="1"/>
    <col min="13576" max="13576" width="9.85546875" style="1" customWidth="1"/>
    <col min="13577" max="13577" width="10" style="1" bestFit="1" customWidth="1"/>
    <col min="13578" max="13578" width="9.85546875" style="1" customWidth="1"/>
    <col min="13579" max="13579" width="8.140625" style="1" customWidth="1"/>
    <col min="13580" max="13581" width="8.42578125" style="1" customWidth="1"/>
    <col min="13582" max="13583" width="9" style="1" customWidth="1"/>
    <col min="13584" max="13586" width="0" style="1" hidden="1" customWidth="1"/>
    <col min="13587" max="13587" width="9.85546875" style="1" customWidth="1"/>
    <col min="13588" max="13589" width="10.5703125" style="1" customWidth="1"/>
    <col min="13590" max="13590" width="10" style="1" customWidth="1"/>
    <col min="13591" max="13591" width="10.5703125" style="1" customWidth="1"/>
    <col min="13592" max="13592" width="9.28515625" style="1" customWidth="1"/>
    <col min="13593" max="13593" width="8.5703125" style="1" customWidth="1"/>
    <col min="13594" max="13828" width="9.140625" style="1"/>
    <col min="13829" max="13829" width="5.85546875" style="1" customWidth="1"/>
    <col min="13830" max="13830" width="25" style="1" customWidth="1"/>
    <col min="13831" max="13831" width="10" style="1" bestFit="1" customWidth="1"/>
    <col min="13832" max="13832" width="9.85546875" style="1" customWidth="1"/>
    <col min="13833" max="13833" width="10" style="1" bestFit="1" customWidth="1"/>
    <col min="13834" max="13834" width="9.85546875" style="1" customWidth="1"/>
    <col min="13835" max="13835" width="8.140625" style="1" customWidth="1"/>
    <col min="13836" max="13837" width="8.42578125" style="1" customWidth="1"/>
    <col min="13838" max="13839" width="9" style="1" customWidth="1"/>
    <col min="13840" max="13842" width="0" style="1" hidden="1" customWidth="1"/>
    <col min="13843" max="13843" width="9.85546875" style="1" customWidth="1"/>
    <col min="13844" max="13845" width="10.5703125" style="1" customWidth="1"/>
    <col min="13846" max="13846" width="10" style="1" customWidth="1"/>
    <col min="13847" max="13847" width="10.5703125" style="1" customWidth="1"/>
    <col min="13848" max="13848" width="9.28515625" style="1" customWidth="1"/>
    <col min="13849" max="13849" width="8.5703125" style="1" customWidth="1"/>
    <col min="13850" max="14084" width="9.140625" style="1"/>
    <col min="14085" max="14085" width="5.85546875" style="1" customWidth="1"/>
    <col min="14086" max="14086" width="25" style="1" customWidth="1"/>
    <col min="14087" max="14087" width="10" style="1" bestFit="1" customWidth="1"/>
    <col min="14088" max="14088" width="9.85546875" style="1" customWidth="1"/>
    <col min="14089" max="14089" width="10" style="1" bestFit="1" customWidth="1"/>
    <col min="14090" max="14090" width="9.85546875" style="1" customWidth="1"/>
    <col min="14091" max="14091" width="8.140625" style="1" customWidth="1"/>
    <col min="14092" max="14093" width="8.42578125" style="1" customWidth="1"/>
    <col min="14094" max="14095" width="9" style="1" customWidth="1"/>
    <col min="14096" max="14098" width="0" style="1" hidden="1" customWidth="1"/>
    <col min="14099" max="14099" width="9.85546875" style="1" customWidth="1"/>
    <col min="14100" max="14101" width="10.5703125" style="1" customWidth="1"/>
    <col min="14102" max="14102" width="10" style="1" customWidth="1"/>
    <col min="14103" max="14103" width="10.5703125" style="1" customWidth="1"/>
    <col min="14104" max="14104" width="9.28515625" style="1" customWidth="1"/>
    <col min="14105" max="14105" width="8.5703125" style="1" customWidth="1"/>
    <col min="14106" max="14340" width="9.140625" style="1"/>
    <col min="14341" max="14341" width="5.85546875" style="1" customWidth="1"/>
    <col min="14342" max="14342" width="25" style="1" customWidth="1"/>
    <col min="14343" max="14343" width="10" style="1" bestFit="1" customWidth="1"/>
    <col min="14344" max="14344" width="9.85546875" style="1" customWidth="1"/>
    <col min="14345" max="14345" width="10" style="1" bestFit="1" customWidth="1"/>
    <col min="14346" max="14346" width="9.85546875" style="1" customWidth="1"/>
    <col min="14347" max="14347" width="8.140625" style="1" customWidth="1"/>
    <col min="14348" max="14349" width="8.42578125" style="1" customWidth="1"/>
    <col min="14350" max="14351" width="9" style="1" customWidth="1"/>
    <col min="14352" max="14354" width="0" style="1" hidden="1" customWidth="1"/>
    <col min="14355" max="14355" width="9.85546875" style="1" customWidth="1"/>
    <col min="14356" max="14357" width="10.5703125" style="1" customWidth="1"/>
    <col min="14358" max="14358" width="10" style="1" customWidth="1"/>
    <col min="14359" max="14359" width="10.5703125" style="1" customWidth="1"/>
    <col min="14360" max="14360" width="9.28515625" style="1" customWidth="1"/>
    <col min="14361" max="14361" width="8.5703125" style="1" customWidth="1"/>
    <col min="14362" max="14596" width="9.140625" style="1"/>
    <col min="14597" max="14597" width="5.85546875" style="1" customWidth="1"/>
    <col min="14598" max="14598" width="25" style="1" customWidth="1"/>
    <col min="14599" max="14599" width="10" style="1" bestFit="1" customWidth="1"/>
    <col min="14600" max="14600" width="9.85546875" style="1" customWidth="1"/>
    <col min="14601" max="14601" width="10" style="1" bestFit="1" customWidth="1"/>
    <col min="14602" max="14602" width="9.85546875" style="1" customWidth="1"/>
    <col min="14603" max="14603" width="8.140625" style="1" customWidth="1"/>
    <col min="14604" max="14605" width="8.42578125" style="1" customWidth="1"/>
    <col min="14606" max="14607" width="9" style="1" customWidth="1"/>
    <col min="14608" max="14610" width="0" style="1" hidden="1" customWidth="1"/>
    <col min="14611" max="14611" width="9.85546875" style="1" customWidth="1"/>
    <col min="14612" max="14613" width="10.5703125" style="1" customWidth="1"/>
    <col min="14614" max="14614" width="10" style="1" customWidth="1"/>
    <col min="14615" max="14615" width="10.5703125" style="1" customWidth="1"/>
    <col min="14616" max="14616" width="9.28515625" style="1" customWidth="1"/>
    <col min="14617" max="14617" width="8.5703125" style="1" customWidth="1"/>
    <col min="14618" max="14852" width="9.140625" style="1"/>
    <col min="14853" max="14853" width="5.85546875" style="1" customWidth="1"/>
    <col min="14854" max="14854" width="25" style="1" customWidth="1"/>
    <col min="14855" max="14855" width="10" style="1" bestFit="1" customWidth="1"/>
    <col min="14856" max="14856" width="9.85546875" style="1" customWidth="1"/>
    <col min="14857" max="14857" width="10" style="1" bestFit="1" customWidth="1"/>
    <col min="14858" max="14858" width="9.85546875" style="1" customWidth="1"/>
    <col min="14859" max="14859" width="8.140625" style="1" customWidth="1"/>
    <col min="14860" max="14861" width="8.42578125" style="1" customWidth="1"/>
    <col min="14862" max="14863" width="9" style="1" customWidth="1"/>
    <col min="14864" max="14866" width="0" style="1" hidden="1" customWidth="1"/>
    <col min="14867" max="14867" width="9.85546875" style="1" customWidth="1"/>
    <col min="14868" max="14869" width="10.5703125" style="1" customWidth="1"/>
    <col min="14870" max="14870" width="10" style="1" customWidth="1"/>
    <col min="14871" max="14871" width="10.5703125" style="1" customWidth="1"/>
    <col min="14872" max="14872" width="9.28515625" style="1" customWidth="1"/>
    <col min="14873" max="14873" width="8.5703125" style="1" customWidth="1"/>
    <col min="14874" max="15108" width="9.140625" style="1"/>
    <col min="15109" max="15109" width="5.85546875" style="1" customWidth="1"/>
    <col min="15110" max="15110" width="25" style="1" customWidth="1"/>
    <col min="15111" max="15111" width="10" style="1" bestFit="1" customWidth="1"/>
    <col min="15112" max="15112" width="9.85546875" style="1" customWidth="1"/>
    <col min="15113" max="15113" width="10" style="1" bestFit="1" customWidth="1"/>
    <col min="15114" max="15114" width="9.85546875" style="1" customWidth="1"/>
    <col min="15115" max="15115" width="8.140625" style="1" customWidth="1"/>
    <col min="15116" max="15117" width="8.42578125" style="1" customWidth="1"/>
    <col min="15118" max="15119" width="9" style="1" customWidth="1"/>
    <col min="15120" max="15122" width="0" style="1" hidden="1" customWidth="1"/>
    <col min="15123" max="15123" width="9.85546875" style="1" customWidth="1"/>
    <col min="15124" max="15125" width="10.5703125" style="1" customWidth="1"/>
    <col min="15126" max="15126" width="10" style="1" customWidth="1"/>
    <col min="15127" max="15127" width="10.5703125" style="1" customWidth="1"/>
    <col min="15128" max="15128" width="9.28515625" style="1" customWidth="1"/>
    <col min="15129" max="15129" width="8.5703125" style="1" customWidth="1"/>
    <col min="15130" max="15364" width="9.140625" style="1"/>
    <col min="15365" max="15365" width="5.85546875" style="1" customWidth="1"/>
    <col min="15366" max="15366" width="25" style="1" customWidth="1"/>
    <col min="15367" max="15367" width="10" style="1" bestFit="1" customWidth="1"/>
    <col min="15368" max="15368" width="9.85546875" style="1" customWidth="1"/>
    <col min="15369" max="15369" width="10" style="1" bestFit="1" customWidth="1"/>
    <col min="15370" max="15370" width="9.85546875" style="1" customWidth="1"/>
    <col min="15371" max="15371" width="8.140625" style="1" customWidth="1"/>
    <col min="15372" max="15373" width="8.42578125" style="1" customWidth="1"/>
    <col min="15374" max="15375" width="9" style="1" customWidth="1"/>
    <col min="15376" max="15378" width="0" style="1" hidden="1" customWidth="1"/>
    <col min="15379" max="15379" width="9.85546875" style="1" customWidth="1"/>
    <col min="15380" max="15381" width="10.5703125" style="1" customWidth="1"/>
    <col min="15382" max="15382" width="10" style="1" customWidth="1"/>
    <col min="15383" max="15383" width="10.5703125" style="1" customWidth="1"/>
    <col min="15384" max="15384" width="9.28515625" style="1" customWidth="1"/>
    <col min="15385" max="15385" width="8.5703125" style="1" customWidth="1"/>
    <col min="15386" max="15620" width="9.140625" style="1"/>
    <col min="15621" max="15621" width="5.85546875" style="1" customWidth="1"/>
    <col min="15622" max="15622" width="25" style="1" customWidth="1"/>
    <col min="15623" max="15623" width="10" style="1" bestFit="1" customWidth="1"/>
    <col min="15624" max="15624" width="9.85546875" style="1" customWidth="1"/>
    <col min="15625" max="15625" width="10" style="1" bestFit="1" customWidth="1"/>
    <col min="15626" max="15626" width="9.85546875" style="1" customWidth="1"/>
    <col min="15627" max="15627" width="8.140625" style="1" customWidth="1"/>
    <col min="15628" max="15629" width="8.42578125" style="1" customWidth="1"/>
    <col min="15630" max="15631" width="9" style="1" customWidth="1"/>
    <col min="15632" max="15634" width="0" style="1" hidden="1" customWidth="1"/>
    <col min="15635" max="15635" width="9.85546875" style="1" customWidth="1"/>
    <col min="15636" max="15637" width="10.5703125" style="1" customWidth="1"/>
    <col min="15638" max="15638" width="10" style="1" customWidth="1"/>
    <col min="15639" max="15639" width="10.5703125" style="1" customWidth="1"/>
    <col min="15640" max="15640" width="9.28515625" style="1" customWidth="1"/>
    <col min="15641" max="15641" width="8.5703125" style="1" customWidth="1"/>
    <col min="15642" max="15876" width="9.140625" style="1"/>
    <col min="15877" max="15877" width="5.85546875" style="1" customWidth="1"/>
    <col min="15878" max="15878" width="25" style="1" customWidth="1"/>
    <col min="15879" max="15879" width="10" style="1" bestFit="1" customWidth="1"/>
    <col min="15880" max="15880" width="9.85546875" style="1" customWidth="1"/>
    <col min="15881" max="15881" width="10" style="1" bestFit="1" customWidth="1"/>
    <col min="15882" max="15882" width="9.85546875" style="1" customWidth="1"/>
    <col min="15883" max="15883" width="8.140625" style="1" customWidth="1"/>
    <col min="15884" max="15885" width="8.42578125" style="1" customWidth="1"/>
    <col min="15886" max="15887" width="9" style="1" customWidth="1"/>
    <col min="15888" max="15890" width="0" style="1" hidden="1" customWidth="1"/>
    <col min="15891" max="15891" width="9.85546875" style="1" customWidth="1"/>
    <col min="15892" max="15893" width="10.5703125" style="1" customWidth="1"/>
    <col min="15894" max="15894" width="10" style="1" customWidth="1"/>
    <col min="15895" max="15895" width="10.5703125" style="1" customWidth="1"/>
    <col min="15896" max="15896" width="9.28515625" style="1" customWidth="1"/>
    <col min="15897" max="15897" width="8.5703125" style="1" customWidth="1"/>
    <col min="15898" max="16132" width="9.140625" style="1"/>
    <col min="16133" max="16133" width="5.85546875" style="1" customWidth="1"/>
    <col min="16134" max="16134" width="25" style="1" customWidth="1"/>
    <col min="16135" max="16135" width="10" style="1" bestFit="1" customWidth="1"/>
    <col min="16136" max="16136" width="9.85546875" style="1" customWidth="1"/>
    <col min="16137" max="16137" width="10" style="1" bestFit="1" customWidth="1"/>
    <col min="16138" max="16138" width="9.85546875" style="1" customWidth="1"/>
    <col min="16139" max="16139" width="8.140625" style="1" customWidth="1"/>
    <col min="16140" max="16141" width="8.42578125" style="1" customWidth="1"/>
    <col min="16142" max="16143" width="9" style="1" customWidth="1"/>
    <col min="16144" max="16146" width="0" style="1" hidden="1" customWidth="1"/>
    <col min="16147" max="16147" width="9.85546875" style="1" customWidth="1"/>
    <col min="16148" max="16149" width="10.5703125" style="1" customWidth="1"/>
    <col min="16150" max="16150" width="10" style="1" customWidth="1"/>
    <col min="16151" max="16151" width="10.5703125" style="1" customWidth="1"/>
    <col min="16152" max="16152" width="9.28515625" style="1" customWidth="1"/>
    <col min="16153" max="16153" width="8.5703125" style="1" customWidth="1"/>
    <col min="16154" max="16384" width="9.140625" style="1"/>
  </cols>
  <sheetData>
    <row r="1" spans="1:25" hidden="1" x14ac:dyDescent="0.2">
      <c r="A1" s="1" t="s">
        <v>0</v>
      </c>
    </row>
    <row r="2" spans="1:25" hidden="1" x14ac:dyDescent="0.2">
      <c r="A2" s="9" t="s">
        <v>1</v>
      </c>
      <c r="B2" s="9"/>
    </row>
    <row r="3" spans="1:25" x14ac:dyDescent="0.2">
      <c r="A3" s="10"/>
      <c r="B3" s="10" t="s">
        <v>2</v>
      </c>
    </row>
    <row r="4" spans="1:25" ht="15" customHeight="1" x14ac:dyDescent="0.2">
      <c r="A4" s="11" t="s">
        <v>3</v>
      </c>
      <c r="B4" s="11"/>
      <c r="C4" s="12"/>
      <c r="D4" s="13"/>
      <c r="E4" s="13"/>
      <c r="F4" s="13"/>
      <c r="G4" s="13"/>
      <c r="H4" s="13"/>
      <c r="I4" s="14"/>
      <c r="N4" s="768"/>
      <c r="O4" s="768"/>
    </row>
    <row r="5" spans="1:25" ht="15" customHeight="1" x14ac:dyDescent="0.2">
      <c r="A5" s="769" t="s">
        <v>4</v>
      </c>
      <c r="B5" s="769"/>
      <c r="C5" s="769"/>
      <c r="D5" s="769"/>
      <c r="E5" s="769"/>
      <c r="F5" s="769"/>
      <c r="G5" s="769"/>
      <c r="H5" s="769"/>
      <c r="I5" s="769"/>
      <c r="J5" s="8"/>
      <c r="K5" s="8"/>
      <c r="L5" s="8"/>
      <c r="M5" s="8"/>
      <c r="N5" s="8"/>
      <c r="O5" s="8"/>
      <c r="P5" s="8"/>
      <c r="Q5" s="5"/>
      <c r="R5" s="5"/>
    </row>
    <row r="6" spans="1:25" ht="15" customHeight="1" x14ac:dyDescent="0.2">
      <c r="A6" s="15" t="s">
        <v>5</v>
      </c>
      <c r="B6" s="15"/>
      <c r="C6" s="16"/>
      <c r="D6" s="17"/>
      <c r="E6" s="17"/>
      <c r="F6" s="17"/>
      <c r="G6" s="17"/>
      <c r="H6" s="17"/>
      <c r="I6" s="18"/>
      <c r="J6" s="770" t="s">
        <v>113</v>
      </c>
      <c r="K6" s="771"/>
      <c r="L6" s="771"/>
      <c r="M6" s="771"/>
      <c r="N6" s="771"/>
      <c r="O6" s="771"/>
      <c r="P6" s="771"/>
      <c r="Q6" s="771"/>
      <c r="R6" s="771"/>
      <c r="S6" s="771"/>
      <c r="T6" s="771"/>
      <c r="U6" s="771"/>
      <c r="V6" s="771"/>
      <c r="W6" s="771"/>
      <c r="X6" s="771"/>
      <c r="Y6" s="771"/>
    </row>
    <row r="7" spans="1:25" ht="12" thickBot="1" x14ac:dyDescent="0.25">
      <c r="A7" s="19"/>
      <c r="B7" s="19"/>
    </row>
    <row r="8" spans="1:25" ht="13.9" customHeight="1" thickBot="1" x14ac:dyDescent="0.25">
      <c r="A8" s="20"/>
      <c r="B8" s="21"/>
      <c r="C8" s="22"/>
      <c r="D8" s="23"/>
      <c r="E8" s="24"/>
      <c r="F8" s="25"/>
      <c r="G8" s="25"/>
      <c r="H8" s="358"/>
      <c r="I8" s="772" t="s">
        <v>112</v>
      </c>
      <c r="J8" s="773"/>
      <c r="K8" s="773"/>
      <c r="L8" s="773"/>
      <c r="M8" s="773"/>
      <c r="N8" s="773"/>
      <c r="O8" s="773"/>
      <c r="P8" s="773"/>
      <c r="Q8" s="773"/>
      <c r="R8" s="773"/>
      <c r="S8" s="774"/>
      <c r="T8" s="772" t="s">
        <v>111</v>
      </c>
      <c r="U8" s="773"/>
      <c r="V8" s="773"/>
      <c r="W8" s="773"/>
      <c r="X8" s="773"/>
      <c r="Y8" s="774"/>
    </row>
    <row r="9" spans="1:25" ht="46.5" customHeight="1" x14ac:dyDescent="0.2">
      <c r="A9" s="26"/>
      <c r="B9" s="27" t="s">
        <v>6</v>
      </c>
      <c r="C9" s="28" t="s">
        <v>7</v>
      </c>
      <c r="D9" s="29" t="s">
        <v>8</v>
      </c>
      <c r="E9" s="30" t="s">
        <v>9</v>
      </c>
      <c r="F9" s="30" t="s">
        <v>10</v>
      </c>
      <c r="G9" s="30" t="s">
        <v>11</v>
      </c>
      <c r="H9" s="351" t="s">
        <v>104</v>
      </c>
      <c r="I9" s="352" t="s">
        <v>105</v>
      </c>
      <c r="J9" s="31" t="s">
        <v>12</v>
      </c>
      <c r="K9" s="31" t="s">
        <v>13</v>
      </c>
      <c r="L9" s="31" t="s">
        <v>14</v>
      </c>
      <c r="M9" s="31" t="s">
        <v>15</v>
      </c>
      <c r="N9" s="32" t="s">
        <v>16</v>
      </c>
      <c r="O9" s="33" t="s">
        <v>17</v>
      </c>
      <c r="P9" s="31" t="s">
        <v>18</v>
      </c>
      <c r="Q9" s="31" t="s">
        <v>19</v>
      </c>
      <c r="R9" s="34"/>
      <c r="S9" s="35" t="s">
        <v>106</v>
      </c>
      <c r="T9" s="30" t="s">
        <v>108</v>
      </c>
      <c r="U9" s="36" t="s">
        <v>109</v>
      </c>
      <c r="V9" s="37" t="s">
        <v>20</v>
      </c>
      <c r="W9" s="38" t="s">
        <v>21</v>
      </c>
      <c r="X9" s="39" t="s">
        <v>22</v>
      </c>
      <c r="Y9" s="40" t="s">
        <v>110</v>
      </c>
    </row>
    <row r="10" spans="1:25" x14ac:dyDescent="0.2">
      <c r="A10" s="41">
        <v>1</v>
      </c>
      <c r="B10" s="42">
        <v>2</v>
      </c>
      <c r="C10" s="43">
        <v>3</v>
      </c>
      <c r="D10" s="44">
        <v>4</v>
      </c>
      <c r="E10" s="45">
        <v>5</v>
      </c>
      <c r="F10" s="45">
        <v>6</v>
      </c>
      <c r="G10" s="45">
        <v>7</v>
      </c>
      <c r="H10" s="359">
        <v>8</v>
      </c>
      <c r="I10" s="353">
        <v>9</v>
      </c>
      <c r="J10" s="46">
        <v>10</v>
      </c>
      <c r="K10" s="46">
        <v>11</v>
      </c>
      <c r="L10" s="46">
        <v>12</v>
      </c>
      <c r="M10" s="46">
        <v>13</v>
      </c>
      <c r="N10" s="47">
        <v>14</v>
      </c>
      <c r="O10" s="48">
        <v>15</v>
      </c>
      <c r="P10" s="46" t="s">
        <v>23</v>
      </c>
      <c r="Q10" s="49" t="s">
        <v>24</v>
      </c>
      <c r="R10" s="50"/>
      <c r="S10" s="51">
        <v>16</v>
      </c>
      <c r="T10" s="45">
        <v>17</v>
      </c>
      <c r="U10" s="48">
        <v>18</v>
      </c>
      <c r="V10" s="52">
        <v>19</v>
      </c>
      <c r="W10" s="53">
        <v>20</v>
      </c>
      <c r="X10" s="54">
        <v>21</v>
      </c>
      <c r="Y10" s="55">
        <v>22</v>
      </c>
    </row>
    <row r="11" spans="1:25" ht="12.2" customHeight="1" x14ac:dyDescent="0.2">
      <c r="A11" s="56">
        <v>3111</v>
      </c>
      <c r="B11" s="57" t="s">
        <v>25</v>
      </c>
      <c r="C11" s="58">
        <v>4873839.6500000004</v>
      </c>
      <c r="D11" s="59">
        <v>4862351.7</v>
      </c>
      <c r="E11" s="60">
        <v>4961976.09</v>
      </c>
      <c r="F11" s="60">
        <v>4911774.37</v>
      </c>
      <c r="G11" s="60">
        <v>4699905.21</v>
      </c>
      <c r="H11" s="354">
        <v>4731182.93</v>
      </c>
      <c r="I11" s="61">
        <v>2967060</v>
      </c>
      <c r="J11" s="62">
        <f>N11*0.57</f>
        <v>1198675.7999999998</v>
      </c>
      <c r="K11" s="62">
        <f>N11*0.23</f>
        <v>483676.2</v>
      </c>
      <c r="L11" s="62">
        <f>N11*0.14</f>
        <v>294411.60000000003</v>
      </c>
      <c r="M11" s="62">
        <f>N11*0.06</f>
        <v>126176.4</v>
      </c>
      <c r="N11" s="63">
        <f>S11-I11-O11</f>
        <v>2102940</v>
      </c>
      <c r="O11" s="64">
        <v>0</v>
      </c>
      <c r="P11" s="62">
        <v>5253000</v>
      </c>
      <c r="Q11" s="65">
        <v>5410000</v>
      </c>
      <c r="R11" s="66">
        <f>1647219+1242640+1075766+968470</f>
        <v>4934095</v>
      </c>
      <c r="S11" s="67">
        <v>5070000</v>
      </c>
      <c r="T11" s="60">
        <v>4856929.17</v>
      </c>
      <c r="U11" s="68">
        <v>8484.31</v>
      </c>
      <c r="V11" s="69">
        <f>I11</f>
        <v>2967060</v>
      </c>
      <c r="W11" s="70">
        <f>T11-U11-V11</f>
        <v>1881384.8600000003</v>
      </c>
      <c r="X11" s="71">
        <f>T11/S11*100</f>
        <v>95.797419526627209</v>
      </c>
      <c r="Y11" s="72">
        <f>T11/H11*100</f>
        <v>102.65781817909966</v>
      </c>
    </row>
    <row r="12" spans="1:25" ht="12.2" customHeight="1" x14ac:dyDescent="0.2">
      <c r="A12" s="73">
        <v>311</v>
      </c>
      <c r="B12" s="74" t="s">
        <v>26</v>
      </c>
      <c r="C12" s="75">
        <f t="shared" ref="C12:G12" si="0">C11</f>
        <v>4873839.6500000004</v>
      </c>
      <c r="D12" s="76">
        <f t="shared" si="0"/>
        <v>4862351.7</v>
      </c>
      <c r="E12" s="77">
        <f t="shared" si="0"/>
        <v>4961976.09</v>
      </c>
      <c r="F12" s="77">
        <f t="shared" si="0"/>
        <v>4911774.37</v>
      </c>
      <c r="G12" s="77">
        <f t="shared" si="0"/>
        <v>4699905.21</v>
      </c>
      <c r="H12" s="355">
        <v>4731182.93</v>
      </c>
      <c r="I12" s="78">
        <f t="shared" ref="I12:Q12" si="1">I11</f>
        <v>2967060</v>
      </c>
      <c r="J12" s="79">
        <f t="shared" si="1"/>
        <v>1198675.7999999998</v>
      </c>
      <c r="K12" s="79">
        <f t="shared" si="1"/>
        <v>483676.2</v>
      </c>
      <c r="L12" s="79">
        <f t="shared" si="1"/>
        <v>294411.60000000003</v>
      </c>
      <c r="M12" s="79">
        <f t="shared" si="1"/>
        <v>126176.4</v>
      </c>
      <c r="N12" s="80">
        <f t="shared" si="1"/>
        <v>2102940</v>
      </c>
      <c r="O12" s="81">
        <f t="shared" si="1"/>
        <v>0</v>
      </c>
      <c r="P12" s="82">
        <f t="shared" si="1"/>
        <v>5253000</v>
      </c>
      <c r="Q12" s="83">
        <f t="shared" si="1"/>
        <v>5410000</v>
      </c>
      <c r="R12" s="84"/>
      <c r="S12" s="85">
        <f>S11</f>
        <v>5070000</v>
      </c>
      <c r="T12" s="77">
        <f>T11</f>
        <v>4856929.17</v>
      </c>
      <c r="U12" s="86">
        <f>U11</f>
        <v>8484.31</v>
      </c>
      <c r="V12" s="87">
        <f t="shared" ref="V12" si="2">V11</f>
        <v>2967060</v>
      </c>
      <c r="W12" s="88">
        <f>W11</f>
        <v>1881384.8600000003</v>
      </c>
      <c r="X12" s="89">
        <f t="shared" ref="X12:X61" si="3">T12/S12*100</f>
        <v>95.797419526627209</v>
      </c>
      <c r="Y12" s="90">
        <f>Y11</f>
        <v>102.65781817909966</v>
      </c>
    </row>
    <row r="13" spans="1:25" ht="12.2" customHeight="1" x14ac:dyDescent="0.2">
      <c r="A13" s="56">
        <v>3131</v>
      </c>
      <c r="B13" s="57" t="s">
        <v>27</v>
      </c>
      <c r="C13" s="58">
        <v>381306.58</v>
      </c>
      <c r="D13" s="59">
        <v>377284.75</v>
      </c>
      <c r="E13" s="60">
        <v>378056.32</v>
      </c>
      <c r="F13" s="60">
        <v>374377.13</v>
      </c>
      <c r="G13" s="60">
        <v>355760.77</v>
      </c>
      <c r="H13" s="356">
        <v>358501.09</v>
      </c>
      <c r="I13" s="91">
        <v>241730</v>
      </c>
      <c r="J13" s="62">
        <f>N13*0.57</f>
        <v>87363.9</v>
      </c>
      <c r="K13" s="62">
        <f>N13*0.23</f>
        <v>35252.1</v>
      </c>
      <c r="L13" s="62">
        <f>N13*0.14</f>
        <v>21457.800000000003</v>
      </c>
      <c r="M13" s="62">
        <f>N13*0.06</f>
        <v>9196.1999999999989</v>
      </c>
      <c r="N13" s="63">
        <f>S13-I13-O13</f>
        <v>153270</v>
      </c>
      <c r="O13" s="64">
        <v>0</v>
      </c>
      <c r="P13" s="62">
        <v>412000</v>
      </c>
      <c r="Q13" s="65">
        <v>424000</v>
      </c>
      <c r="R13" s="66"/>
      <c r="S13" s="92">
        <v>395000</v>
      </c>
      <c r="T13" s="60">
        <v>368006.16</v>
      </c>
      <c r="U13" s="68">
        <v>0</v>
      </c>
      <c r="V13" s="69">
        <f>I13</f>
        <v>241730</v>
      </c>
      <c r="W13" s="70">
        <f>T13-U13-V13</f>
        <v>126276.15999999997</v>
      </c>
      <c r="X13" s="71">
        <f t="shared" si="3"/>
        <v>93.166116455696198</v>
      </c>
      <c r="Y13" s="72">
        <f>T13/H13*100</f>
        <v>102.65133642968837</v>
      </c>
    </row>
    <row r="14" spans="1:25" ht="12.2" customHeight="1" x14ac:dyDescent="0.2">
      <c r="A14" s="56">
        <v>3132</v>
      </c>
      <c r="B14" s="93" t="s">
        <v>28</v>
      </c>
      <c r="C14" s="58">
        <v>757099.11</v>
      </c>
      <c r="D14" s="59">
        <v>730720.11</v>
      </c>
      <c r="E14" s="60">
        <v>738559.41</v>
      </c>
      <c r="F14" s="60">
        <v>762291.98</v>
      </c>
      <c r="G14" s="60">
        <v>728043.93</v>
      </c>
      <c r="H14" s="356">
        <v>724318.42</v>
      </c>
      <c r="I14" s="91">
        <v>508720</v>
      </c>
      <c r="J14" s="62">
        <f>N14*0.57</f>
        <v>166029.59999999998</v>
      </c>
      <c r="K14" s="62">
        <f>N14*0.23</f>
        <v>66994.400000000009</v>
      </c>
      <c r="L14" s="62">
        <f>N14*0.14</f>
        <v>40779.200000000004</v>
      </c>
      <c r="M14" s="62">
        <f>N14*0.06</f>
        <v>17476.8</v>
      </c>
      <c r="N14" s="63">
        <f>S14-I14-O14</f>
        <v>291280</v>
      </c>
      <c r="O14" s="64">
        <v>0</v>
      </c>
      <c r="P14" s="62">
        <v>814200</v>
      </c>
      <c r="Q14" s="65">
        <v>838600</v>
      </c>
      <c r="R14" s="66"/>
      <c r="S14" s="92">
        <v>800000</v>
      </c>
      <c r="T14" s="60">
        <v>758982.28</v>
      </c>
      <c r="U14" s="68">
        <v>0</v>
      </c>
      <c r="V14" s="69">
        <f>I14</f>
        <v>508720</v>
      </c>
      <c r="W14" s="70">
        <f>T14-U14-V14</f>
        <v>250262.28000000003</v>
      </c>
      <c r="X14" s="71">
        <f t="shared" si="3"/>
        <v>94.872785000000007</v>
      </c>
      <c r="Y14" s="72">
        <f t="shared" ref="Y14:Y61" si="4">T14/H14*100</f>
        <v>104.78572117494956</v>
      </c>
    </row>
    <row r="15" spans="1:25" ht="12.2" customHeight="1" x14ac:dyDescent="0.2">
      <c r="A15" s="56">
        <v>3133</v>
      </c>
      <c r="B15" s="57" t="s">
        <v>29</v>
      </c>
      <c r="C15" s="58">
        <v>83036.72</v>
      </c>
      <c r="D15" s="59">
        <v>80143.539999999994</v>
      </c>
      <c r="E15" s="60">
        <v>81003.12</v>
      </c>
      <c r="F15" s="60">
        <v>6442.51</v>
      </c>
      <c r="G15" s="60">
        <v>0</v>
      </c>
      <c r="H15" s="356">
        <v>0</v>
      </c>
      <c r="I15" s="91">
        <v>0</v>
      </c>
      <c r="J15" s="62">
        <v>0</v>
      </c>
      <c r="K15" s="62">
        <v>0</v>
      </c>
      <c r="L15" s="62">
        <v>0</v>
      </c>
      <c r="M15" s="62">
        <v>0</v>
      </c>
      <c r="N15" s="63">
        <f>S15-I15-O15</f>
        <v>0</v>
      </c>
      <c r="O15" s="64">
        <v>0</v>
      </c>
      <c r="P15" s="62">
        <v>89300</v>
      </c>
      <c r="Q15" s="65">
        <v>92000</v>
      </c>
      <c r="R15" s="66"/>
      <c r="S15" s="92">
        <v>0</v>
      </c>
      <c r="T15" s="60">
        <v>0</v>
      </c>
      <c r="U15" s="68">
        <v>0</v>
      </c>
      <c r="V15" s="69">
        <f>I15</f>
        <v>0</v>
      </c>
      <c r="W15" s="70">
        <f>T15-U15-V15</f>
        <v>0</v>
      </c>
      <c r="X15" s="71">
        <v>0</v>
      </c>
      <c r="Y15" s="72">
        <v>0</v>
      </c>
    </row>
    <row r="16" spans="1:25" ht="12.2" customHeight="1" x14ac:dyDescent="0.2">
      <c r="A16" s="73">
        <v>313</v>
      </c>
      <c r="B16" s="74" t="s">
        <v>30</v>
      </c>
      <c r="C16" s="75">
        <f t="shared" ref="C16:G16" si="5">SUM(C13:C15)</f>
        <v>1221442.4099999999</v>
      </c>
      <c r="D16" s="76">
        <f t="shared" si="5"/>
        <v>1188148.3999999999</v>
      </c>
      <c r="E16" s="77">
        <f t="shared" si="5"/>
        <v>1197618.8500000001</v>
      </c>
      <c r="F16" s="77">
        <f t="shared" si="5"/>
        <v>1143111.6199999999</v>
      </c>
      <c r="G16" s="77">
        <f t="shared" si="5"/>
        <v>1083804.7000000002</v>
      </c>
      <c r="H16" s="355">
        <v>1082819.51</v>
      </c>
      <c r="I16" s="78">
        <f>I13+I14+I15</f>
        <v>750450</v>
      </c>
      <c r="J16" s="79">
        <f t="shared" ref="J16:Q16" si="6">SUM(J13:J15)</f>
        <v>253393.49999999997</v>
      </c>
      <c r="K16" s="79">
        <f t="shared" si="6"/>
        <v>102246.5</v>
      </c>
      <c r="L16" s="79">
        <f t="shared" si="6"/>
        <v>62237.000000000007</v>
      </c>
      <c r="M16" s="79">
        <f t="shared" si="6"/>
        <v>26673</v>
      </c>
      <c r="N16" s="80">
        <f t="shared" si="6"/>
        <v>444550</v>
      </c>
      <c r="O16" s="81">
        <f t="shared" si="6"/>
        <v>0</v>
      </c>
      <c r="P16" s="82">
        <f t="shared" si="6"/>
        <v>1315500</v>
      </c>
      <c r="Q16" s="83">
        <f t="shared" si="6"/>
        <v>1354600</v>
      </c>
      <c r="R16" s="84"/>
      <c r="S16" s="85">
        <f>SUM(S13:S15)</f>
        <v>1195000</v>
      </c>
      <c r="T16" s="77">
        <f>SUM(T13:T15)</f>
        <v>1126988.44</v>
      </c>
      <c r="U16" s="86">
        <f>SUM(U13:U15)</f>
        <v>0</v>
      </c>
      <c r="V16" s="87">
        <f t="shared" ref="V16" si="7">SUM(V13:V15)</f>
        <v>750450</v>
      </c>
      <c r="W16" s="88">
        <f>SUM(W13:W15)</f>
        <v>376538.44</v>
      </c>
      <c r="X16" s="89">
        <f t="shared" si="3"/>
        <v>94.308656066945602</v>
      </c>
      <c r="Y16" s="90">
        <f t="shared" si="4"/>
        <v>104.07906669505797</v>
      </c>
    </row>
    <row r="17" spans="1:25" ht="12.2" customHeight="1" x14ac:dyDescent="0.2">
      <c r="A17" s="56">
        <v>3121</v>
      </c>
      <c r="B17" s="93" t="s">
        <v>31</v>
      </c>
      <c r="C17" s="94">
        <v>482178.12</v>
      </c>
      <c r="D17" s="95">
        <v>594402.43999999994</v>
      </c>
      <c r="E17" s="96">
        <v>413734.88</v>
      </c>
      <c r="F17" s="96">
        <v>669362.31999999995</v>
      </c>
      <c r="G17" s="96">
        <v>684113.39</v>
      </c>
      <c r="H17" s="356">
        <v>620105.81999999995</v>
      </c>
      <c r="I17" s="91">
        <v>71620</v>
      </c>
      <c r="J17" s="62">
        <f>N17*0.57</f>
        <v>443676.6</v>
      </c>
      <c r="K17" s="62">
        <f>N17*0.23</f>
        <v>179027.4</v>
      </c>
      <c r="L17" s="62">
        <f>N17*0.14</f>
        <v>108973.20000000001</v>
      </c>
      <c r="M17" s="62">
        <f>N17*0.06</f>
        <v>46702.799999999996</v>
      </c>
      <c r="N17" s="97">
        <f>S17-I17-O17</f>
        <v>778380</v>
      </c>
      <c r="O17" s="98">
        <v>0</v>
      </c>
      <c r="P17" s="99">
        <v>499600</v>
      </c>
      <c r="Q17" s="100">
        <v>407600</v>
      </c>
      <c r="R17" s="101"/>
      <c r="S17" s="92">
        <v>850000</v>
      </c>
      <c r="T17" s="96">
        <v>802764.80000000005</v>
      </c>
      <c r="U17" s="102">
        <v>0</v>
      </c>
      <c r="V17" s="103">
        <f>I17</f>
        <v>71620</v>
      </c>
      <c r="W17" s="104">
        <f>T17-U17-V17</f>
        <v>731144.8</v>
      </c>
      <c r="X17" s="105">
        <f t="shared" si="3"/>
        <v>94.442917647058835</v>
      </c>
      <c r="Y17" s="72">
        <f t="shared" si="4"/>
        <v>129.45609831560688</v>
      </c>
    </row>
    <row r="18" spans="1:25" ht="12.2" customHeight="1" x14ac:dyDescent="0.2">
      <c r="A18" s="73">
        <v>312</v>
      </c>
      <c r="B18" s="74" t="s">
        <v>32</v>
      </c>
      <c r="C18" s="106">
        <f t="shared" ref="C18:G18" si="8">C17</f>
        <v>482178.12</v>
      </c>
      <c r="D18" s="107">
        <f t="shared" si="8"/>
        <v>594402.43999999994</v>
      </c>
      <c r="E18" s="108">
        <f t="shared" si="8"/>
        <v>413734.88</v>
      </c>
      <c r="F18" s="108">
        <f t="shared" si="8"/>
        <v>669362.31999999995</v>
      </c>
      <c r="G18" s="108">
        <f t="shared" si="8"/>
        <v>684113.39</v>
      </c>
      <c r="H18" s="355">
        <v>620105.81999999995</v>
      </c>
      <c r="I18" s="78">
        <f t="shared" ref="I18:Q18" si="9">I17</f>
        <v>71620</v>
      </c>
      <c r="J18" s="109">
        <f t="shared" si="9"/>
        <v>443676.6</v>
      </c>
      <c r="K18" s="109">
        <f t="shared" si="9"/>
        <v>179027.4</v>
      </c>
      <c r="L18" s="109">
        <f t="shared" si="9"/>
        <v>108973.20000000001</v>
      </c>
      <c r="M18" s="109">
        <f t="shared" si="9"/>
        <v>46702.799999999996</v>
      </c>
      <c r="N18" s="110">
        <f t="shared" si="9"/>
        <v>778380</v>
      </c>
      <c r="O18" s="111">
        <f t="shared" si="9"/>
        <v>0</v>
      </c>
      <c r="P18" s="112">
        <f t="shared" si="9"/>
        <v>499600</v>
      </c>
      <c r="Q18" s="113">
        <f t="shared" si="9"/>
        <v>407600</v>
      </c>
      <c r="R18" s="114"/>
      <c r="S18" s="85">
        <f>S17</f>
        <v>850000</v>
      </c>
      <c r="T18" s="108">
        <f>T17</f>
        <v>802764.80000000005</v>
      </c>
      <c r="U18" s="115">
        <f>U17</f>
        <v>0</v>
      </c>
      <c r="V18" s="116">
        <f t="shared" ref="V18" si="10">V17</f>
        <v>71620</v>
      </c>
      <c r="W18" s="117">
        <f>W17</f>
        <v>731144.8</v>
      </c>
      <c r="X18" s="118">
        <f t="shared" si="3"/>
        <v>94.442917647058835</v>
      </c>
      <c r="Y18" s="72">
        <f t="shared" si="4"/>
        <v>129.45609831560688</v>
      </c>
    </row>
    <row r="19" spans="1:25" x14ac:dyDescent="0.2">
      <c r="A19" s="119">
        <v>31</v>
      </c>
      <c r="B19" s="120" t="s">
        <v>33</v>
      </c>
      <c r="C19" s="121">
        <f t="shared" ref="C19:G19" si="11">C11+C13+C14+C15+C17</f>
        <v>6577460.1800000006</v>
      </c>
      <c r="D19" s="122">
        <f t="shared" si="11"/>
        <v>6644902.540000001</v>
      </c>
      <c r="E19" s="123">
        <f t="shared" si="11"/>
        <v>6573329.8200000003</v>
      </c>
      <c r="F19" s="123">
        <f t="shared" si="11"/>
        <v>6724248.3100000005</v>
      </c>
      <c r="G19" s="123">
        <f t="shared" si="11"/>
        <v>6467823.2999999998</v>
      </c>
      <c r="H19" s="135">
        <v>6434108.2599999998</v>
      </c>
      <c r="I19" s="124">
        <f t="shared" ref="I19:Q19" si="12">I11+I13+I14+I15+I17</f>
        <v>3789130</v>
      </c>
      <c r="J19" s="125">
        <f>J11+J13+J14+J15+J17+1</f>
        <v>1895746.9</v>
      </c>
      <c r="K19" s="125">
        <f t="shared" si="12"/>
        <v>764950.1</v>
      </c>
      <c r="L19" s="125">
        <f>L11+L13+L14+L15+L17</f>
        <v>465621.80000000005</v>
      </c>
      <c r="M19" s="125">
        <f>M11+M13+M14+M15+M17</f>
        <v>199552.19999999998</v>
      </c>
      <c r="N19" s="126">
        <f>N11+N13+N14+N15+N17</f>
        <v>3325870</v>
      </c>
      <c r="O19" s="127">
        <f t="shared" si="12"/>
        <v>0</v>
      </c>
      <c r="P19" s="128">
        <f t="shared" si="12"/>
        <v>7068100</v>
      </c>
      <c r="Q19" s="129">
        <f t="shared" si="12"/>
        <v>7172200</v>
      </c>
      <c r="R19" s="130"/>
      <c r="S19" s="85">
        <f>S11+S13+S14+S15+S17</f>
        <v>7115000</v>
      </c>
      <c r="T19" s="123">
        <f>T11+T13+T14+T15+T17</f>
        <v>6786682.4100000001</v>
      </c>
      <c r="U19" s="131">
        <f>U11+U13+U14+U15+U17</f>
        <v>8484.31</v>
      </c>
      <c r="V19" s="132">
        <f t="shared" ref="V19" si="13">V11+V13+V14+V15+V17</f>
        <v>3789130</v>
      </c>
      <c r="W19" s="133">
        <f>W11+W13+W14+W15+W17</f>
        <v>2989068.1000000006</v>
      </c>
      <c r="X19" s="134">
        <f t="shared" si="3"/>
        <v>95.38555741391427</v>
      </c>
      <c r="Y19" s="135">
        <f t="shared" si="4"/>
        <v>105.47976713714793</v>
      </c>
    </row>
    <row r="20" spans="1:25" ht="12.2" customHeight="1" x14ac:dyDescent="0.2">
      <c r="A20" s="56">
        <v>3211</v>
      </c>
      <c r="B20" s="57" t="s">
        <v>34</v>
      </c>
      <c r="C20" s="136">
        <v>2017.57</v>
      </c>
      <c r="D20" s="137">
        <v>8833.02</v>
      </c>
      <c r="E20" s="138">
        <v>19050.52</v>
      </c>
      <c r="F20" s="138">
        <v>9861.84</v>
      </c>
      <c r="G20" s="138">
        <v>480</v>
      </c>
      <c r="H20" s="356">
        <v>23040</v>
      </c>
      <c r="I20" s="91">
        <v>0</v>
      </c>
      <c r="J20" s="139">
        <f>N20*0.57</f>
        <v>14249.999999999998</v>
      </c>
      <c r="K20" s="139">
        <f>N20*0.23</f>
        <v>5750</v>
      </c>
      <c r="L20" s="139">
        <f>N20*0.14</f>
        <v>3500.0000000000005</v>
      </c>
      <c r="M20" s="139">
        <f>N20*0.06</f>
        <v>1500</v>
      </c>
      <c r="N20" s="140">
        <f>S20-I20-O20</f>
        <v>25000</v>
      </c>
      <c r="O20" s="141">
        <v>0</v>
      </c>
      <c r="P20" s="139">
        <v>15000</v>
      </c>
      <c r="Q20" s="139">
        <v>15000</v>
      </c>
      <c r="R20" s="142"/>
      <c r="S20" s="92">
        <v>25000</v>
      </c>
      <c r="T20" s="138">
        <v>11302.21</v>
      </c>
      <c r="U20" s="143">
        <v>4100</v>
      </c>
      <c r="V20" s="144">
        <f>I20</f>
        <v>0</v>
      </c>
      <c r="W20" s="145">
        <f>T20-U20-V20</f>
        <v>7202.2099999999991</v>
      </c>
      <c r="X20" s="146">
        <f t="shared" si="3"/>
        <v>45.208839999999995</v>
      </c>
      <c r="Y20" s="72">
        <f t="shared" si="4"/>
        <v>49.054730902777777</v>
      </c>
    </row>
    <row r="21" spans="1:25" ht="12.2" customHeight="1" x14ac:dyDescent="0.2">
      <c r="A21" s="56">
        <v>3212</v>
      </c>
      <c r="B21" s="93" t="s">
        <v>35</v>
      </c>
      <c r="C21" s="58">
        <v>135740.32999999999</v>
      </c>
      <c r="D21" s="59">
        <v>153130.56</v>
      </c>
      <c r="E21" s="60">
        <v>141889.81</v>
      </c>
      <c r="F21" s="60">
        <v>146370.32999999999</v>
      </c>
      <c r="G21" s="60">
        <v>140574.34</v>
      </c>
      <c r="H21" s="356">
        <v>142833.10999999999</v>
      </c>
      <c r="I21" s="91">
        <f>76189-157</f>
        <v>76032</v>
      </c>
      <c r="J21" s="62">
        <f>N21*0.57</f>
        <v>54131.759999999995</v>
      </c>
      <c r="K21" s="62">
        <f>N21*0.23</f>
        <v>21842.639999999999</v>
      </c>
      <c r="L21" s="62">
        <f>N21*0.14</f>
        <v>13295.52</v>
      </c>
      <c r="M21" s="62">
        <f>N21*0.06</f>
        <v>5698.08</v>
      </c>
      <c r="N21" s="63">
        <f>S21-I21-O21</f>
        <v>94968</v>
      </c>
      <c r="O21" s="64">
        <v>0</v>
      </c>
      <c r="P21" s="62">
        <v>143000</v>
      </c>
      <c r="Q21" s="62">
        <v>143000</v>
      </c>
      <c r="R21" s="147"/>
      <c r="S21" s="92">
        <v>171000</v>
      </c>
      <c r="T21" s="60">
        <v>161029.92000000001</v>
      </c>
      <c r="U21" s="68">
        <v>0</v>
      </c>
      <c r="V21" s="144">
        <f t="shared" ref="V21:V22" si="14">I21</f>
        <v>76032</v>
      </c>
      <c r="W21" s="70">
        <f>T21-U21-V21</f>
        <v>84997.920000000013</v>
      </c>
      <c r="X21" s="71">
        <f t="shared" si="3"/>
        <v>94.169543859649124</v>
      </c>
      <c r="Y21" s="72">
        <f t="shared" si="4"/>
        <v>112.73991023509886</v>
      </c>
    </row>
    <row r="22" spans="1:25" ht="12.2" customHeight="1" x14ac:dyDescent="0.2">
      <c r="A22" s="56">
        <v>3213</v>
      </c>
      <c r="B22" s="57" t="s">
        <v>36</v>
      </c>
      <c r="C22" s="58">
        <v>18000</v>
      </c>
      <c r="D22" s="59">
        <v>32061.19</v>
      </c>
      <c r="E22" s="60">
        <v>14442.83</v>
      </c>
      <c r="F22" s="60">
        <v>21150.799999999999</v>
      </c>
      <c r="G22" s="60">
        <v>16939.13</v>
      </c>
      <c r="H22" s="356">
        <v>30090</v>
      </c>
      <c r="I22" s="91">
        <v>0</v>
      </c>
      <c r="J22" s="62">
        <f>N22*0.57</f>
        <v>23369.999999999996</v>
      </c>
      <c r="K22" s="62">
        <f>N22*0.23</f>
        <v>9430</v>
      </c>
      <c r="L22" s="62">
        <f>N22*0.14</f>
        <v>5740.0000000000009</v>
      </c>
      <c r="M22" s="62">
        <f>N22*0.06</f>
        <v>2460</v>
      </c>
      <c r="N22" s="63">
        <f>S22-I22-O22</f>
        <v>41000</v>
      </c>
      <c r="O22" s="64">
        <v>2000</v>
      </c>
      <c r="P22" s="62">
        <v>30000</v>
      </c>
      <c r="Q22" s="62">
        <v>30000</v>
      </c>
      <c r="R22" s="147"/>
      <c r="S22" s="92">
        <v>43000</v>
      </c>
      <c r="T22" s="60">
        <v>39810</v>
      </c>
      <c r="U22" s="68">
        <v>0</v>
      </c>
      <c r="V22" s="144">
        <f t="shared" si="14"/>
        <v>0</v>
      </c>
      <c r="W22" s="70">
        <f>T22-U22-V22</f>
        <v>39810</v>
      </c>
      <c r="X22" s="71">
        <f t="shared" si="3"/>
        <v>92.581395348837219</v>
      </c>
      <c r="Y22" s="72">
        <f t="shared" si="4"/>
        <v>132.30309072781654</v>
      </c>
    </row>
    <row r="23" spans="1:25" ht="12.2" customHeight="1" x14ac:dyDescent="0.2">
      <c r="A23" s="73">
        <v>321</v>
      </c>
      <c r="B23" s="74" t="s">
        <v>37</v>
      </c>
      <c r="C23" s="75">
        <f t="shared" ref="C23:G23" si="15">SUM(C20:C22)</f>
        <v>155757.9</v>
      </c>
      <c r="D23" s="76">
        <f t="shared" si="15"/>
        <v>194024.77</v>
      </c>
      <c r="E23" s="77">
        <f t="shared" si="15"/>
        <v>175383.15999999997</v>
      </c>
      <c r="F23" s="77">
        <f t="shared" si="15"/>
        <v>177382.96999999997</v>
      </c>
      <c r="G23" s="77">
        <f t="shared" si="15"/>
        <v>157993.47</v>
      </c>
      <c r="H23" s="355">
        <v>195963.11</v>
      </c>
      <c r="I23" s="78">
        <f t="shared" ref="I23:Q23" si="16">SUM(I20:I22)</f>
        <v>76032</v>
      </c>
      <c r="J23" s="79">
        <f t="shared" si="16"/>
        <v>91751.76</v>
      </c>
      <c r="K23" s="79">
        <f t="shared" si="16"/>
        <v>37022.639999999999</v>
      </c>
      <c r="L23" s="79">
        <f t="shared" si="16"/>
        <v>22535.52</v>
      </c>
      <c r="M23" s="79">
        <f t="shared" si="16"/>
        <v>9658.08</v>
      </c>
      <c r="N23" s="80">
        <f t="shared" si="16"/>
        <v>160968</v>
      </c>
      <c r="O23" s="81">
        <f t="shared" si="16"/>
        <v>2000</v>
      </c>
      <c r="P23" s="82">
        <f t="shared" si="16"/>
        <v>188000</v>
      </c>
      <c r="Q23" s="82">
        <f t="shared" si="16"/>
        <v>188000</v>
      </c>
      <c r="R23" s="148"/>
      <c r="S23" s="85">
        <f>SUM(S20:S22)</f>
        <v>239000</v>
      </c>
      <c r="T23" s="77">
        <f>SUM(T20:T22)</f>
        <v>212142.13</v>
      </c>
      <c r="U23" s="86">
        <f>SUM(U20:U22)</f>
        <v>4100</v>
      </c>
      <c r="V23" s="87">
        <f t="shared" ref="V23" si="17">SUM(V20:V22)</f>
        <v>76032</v>
      </c>
      <c r="W23" s="88">
        <f>SUM(W20:W22)</f>
        <v>132010.13</v>
      </c>
      <c r="X23" s="89">
        <f t="shared" si="3"/>
        <v>88.762397489539751</v>
      </c>
      <c r="Y23" s="90">
        <f t="shared" si="4"/>
        <v>108.25615596731446</v>
      </c>
    </row>
    <row r="24" spans="1:25" ht="12.2" customHeight="1" x14ac:dyDescent="0.2">
      <c r="A24" s="56">
        <v>3221</v>
      </c>
      <c r="B24" s="93" t="s">
        <v>38</v>
      </c>
      <c r="C24" s="58">
        <v>82477.3</v>
      </c>
      <c r="D24" s="59">
        <v>75231.8</v>
      </c>
      <c r="E24" s="60">
        <v>71166.3</v>
      </c>
      <c r="F24" s="60">
        <v>57215.77</v>
      </c>
      <c r="G24" s="60">
        <v>53117.65</v>
      </c>
      <c r="H24" s="356">
        <v>60599.03</v>
      </c>
      <c r="I24" s="91">
        <v>30524</v>
      </c>
      <c r="J24" s="62">
        <f>N24*0.57</f>
        <v>22501.32</v>
      </c>
      <c r="K24" s="62">
        <f>N24*0.23</f>
        <v>9079.48</v>
      </c>
      <c r="L24" s="62">
        <f>N24*0.14</f>
        <v>5526.64</v>
      </c>
      <c r="M24" s="62">
        <f>N24*0.06</f>
        <v>2368.56</v>
      </c>
      <c r="N24" s="63">
        <f>S24-I24-O24</f>
        <v>39476</v>
      </c>
      <c r="O24" s="64">
        <v>0</v>
      </c>
      <c r="P24" s="62">
        <v>80000</v>
      </c>
      <c r="Q24" s="62">
        <v>80000</v>
      </c>
      <c r="R24" s="147"/>
      <c r="S24" s="92">
        <v>70000</v>
      </c>
      <c r="T24" s="60">
        <v>69713.81</v>
      </c>
      <c r="U24" s="68">
        <f>O24</f>
        <v>0</v>
      </c>
      <c r="V24" s="69">
        <f>I24</f>
        <v>30524</v>
      </c>
      <c r="W24" s="70">
        <f>T24-U24-V24</f>
        <v>39189.81</v>
      </c>
      <c r="X24" s="71">
        <f t="shared" si="3"/>
        <v>99.591157142857128</v>
      </c>
      <c r="Y24" s="72">
        <f t="shared" si="4"/>
        <v>115.04113184649984</v>
      </c>
    </row>
    <row r="25" spans="1:25" ht="12.2" customHeight="1" x14ac:dyDescent="0.2">
      <c r="A25" s="56">
        <v>3223</v>
      </c>
      <c r="B25" s="57" t="s">
        <v>39</v>
      </c>
      <c r="C25" s="58">
        <v>119413.71</v>
      </c>
      <c r="D25" s="59">
        <v>135649.54</v>
      </c>
      <c r="E25" s="60">
        <v>133853.75</v>
      </c>
      <c r="F25" s="60">
        <v>145266.51999999999</v>
      </c>
      <c r="G25" s="60">
        <v>102925.97</v>
      </c>
      <c r="H25" s="356">
        <v>138237</v>
      </c>
      <c r="I25" s="91">
        <v>110729</v>
      </c>
      <c r="J25" s="62">
        <f>N25*0.57</f>
        <v>63424.469999999994</v>
      </c>
      <c r="K25" s="62">
        <f>N25*0.23</f>
        <v>25592.33</v>
      </c>
      <c r="L25" s="62">
        <f t="shared" ref="L25:L28" si="18">N25*0.14</f>
        <v>15577.940000000002</v>
      </c>
      <c r="M25" s="62">
        <f t="shared" ref="M25:M28" si="19">N25*0.06</f>
        <v>6676.2599999999993</v>
      </c>
      <c r="N25" s="63">
        <f>S25-I25-O25</f>
        <v>111271</v>
      </c>
      <c r="O25" s="64">
        <v>0</v>
      </c>
      <c r="P25" s="62">
        <v>137000</v>
      </c>
      <c r="Q25" s="62">
        <v>137000</v>
      </c>
      <c r="R25" s="147"/>
      <c r="S25" s="92">
        <v>222000</v>
      </c>
      <c r="T25" s="60">
        <v>191826.96</v>
      </c>
      <c r="U25" s="68">
        <v>4634.67</v>
      </c>
      <c r="V25" s="69">
        <f t="shared" ref="V25:V28" si="20">I25</f>
        <v>110729</v>
      </c>
      <c r="W25" s="70">
        <f>T25-U25-V25</f>
        <v>76463.289999999979</v>
      </c>
      <c r="X25" s="71">
        <f t="shared" si="3"/>
        <v>86.408540540540528</v>
      </c>
      <c r="Y25" s="72">
        <f t="shared" si="4"/>
        <v>138.76672670847893</v>
      </c>
    </row>
    <row r="26" spans="1:25" ht="12.2" customHeight="1" x14ac:dyDescent="0.2">
      <c r="A26" s="56">
        <v>3224</v>
      </c>
      <c r="B26" s="57" t="s">
        <v>40</v>
      </c>
      <c r="C26" s="58">
        <v>0</v>
      </c>
      <c r="D26" s="59">
        <v>0</v>
      </c>
      <c r="E26" s="60">
        <v>0</v>
      </c>
      <c r="F26" s="60">
        <v>6615.87</v>
      </c>
      <c r="G26" s="60">
        <v>0</v>
      </c>
      <c r="H26" s="356">
        <v>0</v>
      </c>
      <c r="I26" s="91">
        <v>0</v>
      </c>
      <c r="J26" s="62">
        <f t="shared" ref="J26:J28" si="21">N26*0.57</f>
        <v>5699.9999999999991</v>
      </c>
      <c r="K26" s="62">
        <f t="shared" ref="K26:K28" si="22">N26*0.23</f>
        <v>2300</v>
      </c>
      <c r="L26" s="62">
        <f t="shared" si="18"/>
        <v>1400.0000000000002</v>
      </c>
      <c r="M26" s="62">
        <f t="shared" si="19"/>
        <v>600</v>
      </c>
      <c r="N26" s="63">
        <f>S26-I26-O26</f>
        <v>10000</v>
      </c>
      <c r="O26" s="64">
        <v>0</v>
      </c>
      <c r="P26" s="62"/>
      <c r="Q26" s="62"/>
      <c r="R26" s="147"/>
      <c r="S26" s="92">
        <v>10000</v>
      </c>
      <c r="T26" s="60">
        <v>9993.48</v>
      </c>
      <c r="U26" s="68">
        <f t="shared" ref="U26:U28" si="23">O26</f>
        <v>0</v>
      </c>
      <c r="V26" s="69">
        <f t="shared" si="20"/>
        <v>0</v>
      </c>
      <c r="W26" s="70">
        <f>T26-U26-V26</f>
        <v>9993.48</v>
      </c>
      <c r="X26" s="71">
        <v>0</v>
      </c>
      <c r="Y26" s="72">
        <v>0</v>
      </c>
    </row>
    <row r="27" spans="1:25" ht="12.2" customHeight="1" x14ac:dyDescent="0.2">
      <c r="A27" s="56">
        <v>3225</v>
      </c>
      <c r="B27" s="57" t="s">
        <v>41</v>
      </c>
      <c r="C27" s="58">
        <v>37751.03</v>
      </c>
      <c r="D27" s="59">
        <v>112870.46</v>
      </c>
      <c r="E27" s="60">
        <v>109536.15</v>
      </c>
      <c r="F27" s="60">
        <v>54498.04</v>
      </c>
      <c r="G27" s="60">
        <v>28224.26</v>
      </c>
      <c r="H27" s="356">
        <v>48831.22</v>
      </c>
      <c r="I27" s="91">
        <f>24375+49</f>
        <v>24424</v>
      </c>
      <c r="J27" s="62">
        <f>N27*0.57-1</f>
        <v>14577.319999999998</v>
      </c>
      <c r="K27" s="62">
        <f t="shared" si="22"/>
        <v>5882.4800000000005</v>
      </c>
      <c r="L27" s="62">
        <f t="shared" si="18"/>
        <v>3580.6400000000003</v>
      </c>
      <c r="M27" s="62">
        <f t="shared" si="19"/>
        <v>1534.56</v>
      </c>
      <c r="N27" s="63">
        <f>S27-I27-O27</f>
        <v>25576</v>
      </c>
      <c r="O27" s="64">
        <v>0</v>
      </c>
      <c r="P27" s="62">
        <v>40000</v>
      </c>
      <c r="Q27" s="62">
        <v>40000</v>
      </c>
      <c r="R27" s="147"/>
      <c r="S27" s="92">
        <v>50000</v>
      </c>
      <c r="T27" s="60">
        <v>46928.959999999999</v>
      </c>
      <c r="U27" s="68">
        <f t="shared" si="23"/>
        <v>0</v>
      </c>
      <c r="V27" s="69">
        <f t="shared" si="20"/>
        <v>24424</v>
      </c>
      <c r="W27" s="70">
        <f>T27-U27-V27</f>
        <v>22504.959999999999</v>
      </c>
      <c r="X27" s="71">
        <f t="shared" si="3"/>
        <v>93.857919999999993</v>
      </c>
      <c r="Y27" s="72">
        <f t="shared" si="4"/>
        <v>96.104418443774293</v>
      </c>
    </row>
    <row r="28" spans="1:25" ht="12.2" customHeight="1" x14ac:dyDescent="0.2">
      <c r="A28" s="56">
        <v>3227</v>
      </c>
      <c r="B28" s="57" t="s">
        <v>42</v>
      </c>
      <c r="C28" s="58">
        <v>66058.75</v>
      </c>
      <c r="D28" s="59">
        <v>162549.4</v>
      </c>
      <c r="E28" s="60">
        <v>273065.42</v>
      </c>
      <c r="F28" s="60">
        <v>263093.08</v>
      </c>
      <c r="G28" s="60">
        <v>59936.52</v>
      </c>
      <c r="H28" s="356">
        <v>74210.62</v>
      </c>
      <c r="I28" s="91">
        <v>56250</v>
      </c>
      <c r="J28" s="62">
        <f t="shared" si="21"/>
        <v>129247.49999999999</v>
      </c>
      <c r="K28" s="62">
        <f t="shared" si="22"/>
        <v>52152.5</v>
      </c>
      <c r="L28" s="62">
        <f t="shared" si="18"/>
        <v>31745.000000000004</v>
      </c>
      <c r="M28" s="62">
        <f t="shared" si="19"/>
        <v>13605</v>
      </c>
      <c r="N28" s="63">
        <f>S28-I28-O28</f>
        <v>226750</v>
      </c>
      <c r="O28" s="64">
        <v>0</v>
      </c>
      <c r="P28" s="62">
        <v>66250</v>
      </c>
      <c r="Q28" s="62">
        <v>66250</v>
      </c>
      <c r="R28" s="147"/>
      <c r="S28" s="92">
        <v>283000</v>
      </c>
      <c r="T28" s="60">
        <v>276124.09000000003</v>
      </c>
      <c r="U28" s="68">
        <f t="shared" si="23"/>
        <v>0</v>
      </c>
      <c r="V28" s="69">
        <f t="shared" si="20"/>
        <v>56250</v>
      </c>
      <c r="W28" s="70">
        <f>T28-U28-V28</f>
        <v>219874.09000000003</v>
      </c>
      <c r="X28" s="71">
        <f t="shared" si="3"/>
        <v>97.570349823321564</v>
      </c>
      <c r="Y28" s="72">
        <f t="shared" si="4"/>
        <v>372.08163737211743</v>
      </c>
    </row>
    <row r="29" spans="1:25" ht="12.2" customHeight="1" x14ac:dyDescent="0.2">
      <c r="A29" s="73">
        <v>322</v>
      </c>
      <c r="B29" s="74" t="s">
        <v>43</v>
      </c>
      <c r="C29" s="75">
        <f>SUM(C24:C28)</f>
        <v>305700.79000000004</v>
      </c>
      <c r="D29" s="76">
        <f>SUM(D24:D28)</f>
        <v>486301.20000000007</v>
      </c>
      <c r="E29" s="77">
        <f>SUM(E24:E28)</f>
        <v>587621.61999999988</v>
      </c>
      <c r="F29" s="77">
        <f>SUM(F24:F28)</f>
        <v>526689.28000000003</v>
      </c>
      <c r="G29" s="77">
        <f>SUM(G24:G28)</f>
        <v>244204.4</v>
      </c>
      <c r="H29" s="355">
        <v>321877.87</v>
      </c>
      <c r="I29" s="78">
        <f t="shared" ref="I29:Q29" si="24">SUM(I24:I28)</f>
        <v>221927</v>
      </c>
      <c r="J29" s="79">
        <f>SUM(J24:J28)</f>
        <v>235450.61</v>
      </c>
      <c r="K29" s="79">
        <f t="shared" si="24"/>
        <v>95006.790000000008</v>
      </c>
      <c r="L29" s="79">
        <f t="shared" si="24"/>
        <v>57830.22</v>
      </c>
      <c r="M29" s="79">
        <f>SUM(M24:M28)</f>
        <v>24784.379999999997</v>
      </c>
      <c r="N29" s="80">
        <f t="shared" si="24"/>
        <v>413073</v>
      </c>
      <c r="O29" s="81">
        <f t="shared" si="24"/>
        <v>0</v>
      </c>
      <c r="P29" s="82">
        <f t="shared" si="24"/>
        <v>323250</v>
      </c>
      <c r="Q29" s="82">
        <f t="shared" si="24"/>
        <v>323250</v>
      </c>
      <c r="R29" s="148"/>
      <c r="S29" s="85">
        <f>S24+S25+S26+S27+S28</f>
        <v>635000</v>
      </c>
      <c r="T29" s="77">
        <f>SUM(T24:T28)</f>
        <v>594587.30000000005</v>
      </c>
      <c r="U29" s="86">
        <f>SUM(U24:U28)</f>
        <v>4634.67</v>
      </c>
      <c r="V29" s="87">
        <f t="shared" ref="V29" si="25">SUM(V24:V28)</f>
        <v>221927</v>
      </c>
      <c r="W29" s="88">
        <f>SUM(W24:W28)</f>
        <v>368025.63</v>
      </c>
      <c r="X29" s="89">
        <f t="shared" si="3"/>
        <v>93.635795275590567</v>
      </c>
      <c r="Y29" s="90">
        <f t="shared" si="4"/>
        <v>184.72450435937085</v>
      </c>
    </row>
    <row r="30" spans="1:25" ht="12.2" customHeight="1" x14ac:dyDescent="0.2">
      <c r="A30" s="56">
        <v>3231</v>
      </c>
      <c r="B30" s="57" t="s">
        <v>44</v>
      </c>
      <c r="C30" s="58">
        <v>27198.2</v>
      </c>
      <c r="D30" s="59">
        <v>30634.84</v>
      </c>
      <c r="E30" s="60">
        <v>25097.91</v>
      </c>
      <c r="F30" s="60">
        <v>26473.68</v>
      </c>
      <c r="G30" s="60">
        <v>25260.91</v>
      </c>
      <c r="H30" s="356">
        <v>39550.01</v>
      </c>
      <c r="I30" s="91">
        <v>24655</v>
      </c>
      <c r="J30" s="62">
        <f t="shared" ref="J30:J37" si="26">N30*0.57</f>
        <v>14104.65</v>
      </c>
      <c r="K30" s="62">
        <f t="shared" ref="K30:K37" si="27">N30*0.23</f>
        <v>5691.35</v>
      </c>
      <c r="L30" s="62">
        <f t="shared" ref="L30:L37" si="28">N30*0.14</f>
        <v>3464.3</v>
      </c>
      <c r="M30" s="62">
        <f t="shared" ref="M30:M37" si="29">N30*0.06</f>
        <v>1484.7</v>
      </c>
      <c r="N30" s="63">
        <f t="shared" ref="N30:N37" si="30">S30-I30-O30</f>
        <v>24745</v>
      </c>
      <c r="O30" s="64">
        <v>0</v>
      </c>
      <c r="P30" s="62">
        <v>30700</v>
      </c>
      <c r="Q30" s="62">
        <v>30700</v>
      </c>
      <c r="R30" s="147"/>
      <c r="S30" s="92">
        <v>49400</v>
      </c>
      <c r="T30" s="60">
        <v>48782</v>
      </c>
      <c r="U30" s="68">
        <f>O30</f>
        <v>0</v>
      </c>
      <c r="V30" s="69">
        <f>I30</f>
        <v>24655</v>
      </c>
      <c r="W30" s="70">
        <f t="shared" ref="W30:W37" si="31">T30-U30-V30</f>
        <v>24127</v>
      </c>
      <c r="X30" s="71">
        <f t="shared" si="3"/>
        <v>98.748987854251013</v>
      </c>
      <c r="Y30" s="72">
        <f t="shared" si="4"/>
        <v>123.34257311186521</v>
      </c>
    </row>
    <row r="31" spans="1:25" ht="12.2" customHeight="1" x14ac:dyDescent="0.2">
      <c r="A31" s="56">
        <v>3232</v>
      </c>
      <c r="B31" s="57" t="s">
        <v>45</v>
      </c>
      <c r="C31" s="58">
        <v>190089.12</v>
      </c>
      <c r="D31" s="59">
        <v>170367.34</v>
      </c>
      <c r="E31" s="60">
        <v>206609.9</v>
      </c>
      <c r="F31" s="60">
        <v>193995.02</v>
      </c>
      <c r="G31" s="60">
        <v>118037.58</v>
      </c>
      <c r="H31" s="356">
        <v>122169.71</v>
      </c>
      <c r="I31" s="91">
        <v>37700</v>
      </c>
      <c r="J31" s="62">
        <f t="shared" si="26"/>
        <v>82023</v>
      </c>
      <c r="K31" s="62">
        <f t="shared" si="27"/>
        <v>33097</v>
      </c>
      <c r="L31" s="62">
        <f t="shared" si="28"/>
        <v>20146.000000000004</v>
      </c>
      <c r="M31" s="62">
        <f t="shared" si="29"/>
        <v>8634</v>
      </c>
      <c r="N31" s="63">
        <f t="shared" si="30"/>
        <v>143900</v>
      </c>
      <c r="O31" s="64">
        <v>0</v>
      </c>
      <c r="P31" s="62">
        <v>100000</v>
      </c>
      <c r="Q31" s="62">
        <v>100000</v>
      </c>
      <c r="R31" s="147">
        <f>9470+7144+103663+70793</f>
        <v>191070</v>
      </c>
      <c r="S31" s="92">
        <v>181600</v>
      </c>
      <c r="T31" s="60">
        <v>195104.4</v>
      </c>
      <c r="U31" s="68">
        <v>14296.88</v>
      </c>
      <c r="V31" s="69">
        <f t="shared" ref="V31:V37" si="32">I31</f>
        <v>37700</v>
      </c>
      <c r="W31" s="70">
        <f t="shared" si="31"/>
        <v>143107.51999999999</v>
      </c>
      <c r="X31" s="71">
        <f t="shared" si="3"/>
        <v>107.43634361233481</v>
      </c>
      <c r="Y31" s="72">
        <f t="shared" si="4"/>
        <v>159.69948688590648</v>
      </c>
    </row>
    <row r="32" spans="1:25" ht="12.2" customHeight="1" x14ac:dyDescent="0.2">
      <c r="A32" s="56">
        <v>3233</v>
      </c>
      <c r="B32" s="93" t="s">
        <v>46</v>
      </c>
      <c r="C32" s="58">
        <v>1250</v>
      </c>
      <c r="D32" s="59">
        <v>350</v>
      </c>
      <c r="E32" s="60">
        <v>9500</v>
      </c>
      <c r="F32" s="60">
        <v>700</v>
      </c>
      <c r="G32" s="60">
        <v>350</v>
      </c>
      <c r="H32" s="356">
        <v>2992.5</v>
      </c>
      <c r="I32" s="91">
        <v>0</v>
      </c>
      <c r="J32" s="62">
        <f>N32*0.57</f>
        <v>7979.9999999999991</v>
      </c>
      <c r="K32" s="62">
        <f>N32*0.23</f>
        <v>3220</v>
      </c>
      <c r="L32" s="62">
        <f>N32*0.14</f>
        <v>1960.0000000000002</v>
      </c>
      <c r="M32" s="62">
        <f>N32*0.06</f>
        <v>840</v>
      </c>
      <c r="N32" s="63">
        <f t="shared" si="30"/>
        <v>14000</v>
      </c>
      <c r="O32" s="64">
        <v>0</v>
      </c>
      <c r="P32" s="62">
        <v>3000</v>
      </c>
      <c r="Q32" s="62">
        <v>3000</v>
      </c>
      <c r="R32" s="147"/>
      <c r="S32" s="92">
        <v>14000</v>
      </c>
      <c r="T32" s="60">
        <v>12711</v>
      </c>
      <c r="U32" s="68">
        <f t="shared" ref="U32:U37" si="33">O32</f>
        <v>0</v>
      </c>
      <c r="V32" s="69">
        <f t="shared" si="32"/>
        <v>0</v>
      </c>
      <c r="W32" s="70">
        <f t="shared" si="31"/>
        <v>12711</v>
      </c>
      <c r="X32" s="71">
        <f t="shared" si="3"/>
        <v>90.792857142857144</v>
      </c>
      <c r="Y32" s="72">
        <f t="shared" si="4"/>
        <v>424.76190476190476</v>
      </c>
    </row>
    <row r="33" spans="1:25" ht="12.2" customHeight="1" x14ac:dyDescent="0.2">
      <c r="A33" s="56">
        <v>3234</v>
      </c>
      <c r="B33" s="57" t="s">
        <v>47</v>
      </c>
      <c r="C33" s="58">
        <v>24015.82</v>
      </c>
      <c r="D33" s="59">
        <v>22300.93</v>
      </c>
      <c r="E33" s="60">
        <v>20423.38</v>
      </c>
      <c r="F33" s="60">
        <v>19151.32</v>
      </c>
      <c r="G33" s="60">
        <v>18201.75</v>
      </c>
      <c r="H33" s="356">
        <v>18866.04</v>
      </c>
      <c r="I33" s="91">
        <v>16614</v>
      </c>
      <c r="J33" s="62">
        <f t="shared" si="26"/>
        <v>3070.0199999999995</v>
      </c>
      <c r="K33" s="62">
        <f t="shared" si="27"/>
        <v>1238.78</v>
      </c>
      <c r="L33" s="62">
        <f t="shared" si="28"/>
        <v>754.04000000000008</v>
      </c>
      <c r="M33" s="62">
        <f t="shared" si="29"/>
        <v>323.15999999999997</v>
      </c>
      <c r="N33" s="63">
        <f t="shared" si="30"/>
        <v>5386</v>
      </c>
      <c r="O33" s="64">
        <v>0</v>
      </c>
      <c r="P33" s="62">
        <v>19500</v>
      </c>
      <c r="Q33" s="62">
        <v>19500</v>
      </c>
      <c r="R33" s="147"/>
      <c r="S33" s="92">
        <v>22000</v>
      </c>
      <c r="T33" s="60">
        <v>18934.23</v>
      </c>
      <c r="U33" s="68">
        <f t="shared" si="33"/>
        <v>0</v>
      </c>
      <c r="V33" s="69">
        <f t="shared" si="32"/>
        <v>16614</v>
      </c>
      <c r="W33" s="70">
        <f t="shared" si="31"/>
        <v>2320.2299999999996</v>
      </c>
      <c r="X33" s="71">
        <f t="shared" si="3"/>
        <v>86.064681818181825</v>
      </c>
      <c r="Y33" s="72">
        <f t="shared" si="4"/>
        <v>100.36144310093691</v>
      </c>
    </row>
    <row r="34" spans="1:25" ht="12.2" customHeight="1" x14ac:dyDescent="0.2">
      <c r="A34" s="56">
        <v>3235</v>
      </c>
      <c r="B34" s="57" t="s">
        <v>48</v>
      </c>
      <c r="C34" s="58">
        <v>11000</v>
      </c>
      <c r="D34" s="59">
        <v>0</v>
      </c>
      <c r="E34" s="60">
        <v>0</v>
      </c>
      <c r="F34" s="60">
        <v>6250</v>
      </c>
      <c r="G34" s="60">
        <v>6250</v>
      </c>
      <c r="H34" s="356">
        <v>25362.5</v>
      </c>
      <c r="I34" s="91">
        <v>0</v>
      </c>
      <c r="J34" s="62">
        <f t="shared" si="26"/>
        <v>18810</v>
      </c>
      <c r="K34" s="62">
        <f t="shared" si="27"/>
        <v>7590</v>
      </c>
      <c r="L34" s="62">
        <f t="shared" si="28"/>
        <v>4620</v>
      </c>
      <c r="M34" s="62">
        <f t="shared" si="29"/>
        <v>1980</v>
      </c>
      <c r="N34" s="63">
        <f t="shared" si="30"/>
        <v>33000</v>
      </c>
      <c r="O34" s="64">
        <v>0</v>
      </c>
      <c r="P34" s="62">
        <v>12000</v>
      </c>
      <c r="Q34" s="62">
        <v>12000</v>
      </c>
      <c r="R34" s="147"/>
      <c r="S34" s="92">
        <v>33000</v>
      </c>
      <c r="T34" s="60">
        <v>31550</v>
      </c>
      <c r="U34" s="68">
        <f t="shared" si="33"/>
        <v>0</v>
      </c>
      <c r="V34" s="69">
        <f t="shared" si="32"/>
        <v>0</v>
      </c>
      <c r="W34" s="70">
        <f t="shared" si="31"/>
        <v>31550</v>
      </c>
      <c r="X34" s="71">
        <v>0</v>
      </c>
      <c r="Y34" s="72">
        <f t="shared" si="4"/>
        <v>124.3962543124692</v>
      </c>
    </row>
    <row r="35" spans="1:25" ht="12.2" customHeight="1" x14ac:dyDescent="0.2">
      <c r="A35" s="56">
        <v>3236</v>
      </c>
      <c r="B35" s="57" t="s">
        <v>49</v>
      </c>
      <c r="C35" s="58">
        <v>6085</v>
      </c>
      <c r="D35" s="59">
        <v>1455</v>
      </c>
      <c r="E35" s="60">
        <v>535</v>
      </c>
      <c r="F35" s="60">
        <v>1035</v>
      </c>
      <c r="G35" s="60">
        <v>950</v>
      </c>
      <c r="H35" s="356">
        <v>3270</v>
      </c>
      <c r="I35" s="91">
        <v>0</v>
      </c>
      <c r="J35" s="62">
        <f t="shared" si="26"/>
        <v>2849.9999999999995</v>
      </c>
      <c r="K35" s="62">
        <f t="shared" si="27"/>
        <v>1150</v>
      </c>
      <c r="L35" s="62">
        <f t="shared" si="28"/>
        <v>700.00000000000011</v>
      </c>
      <c r="M35" s="62">
        <f t="shared" si="29"/>
        <v>300</v>
      </c>
      <c r="N35" s="63">
        <f t="shared" si="30"/>
        <v>5000</v>
      </c>
      <c r="O35" s="64">
        <v>0</v>
      </c>
      <c r="P35" s="62">
        <v>1000</v>
      </c>
      <c r="Q35" s="62">
        <v>1000</v>
      </c>
      <c r="R35" s="147"/>
      <c r="S35" s="92">
        <v>5000</v>
      </c>
      <c r="T35" s="60">
        <v>2750</v>
      </c>
      <c r="U35" s="68">
        <f t="shared" si="33"/>
        <v>0</v>
      </c>
      <c r="V35" s="69">
        <f t="shared" si="32"/>
        <v>0</v>
      </c>
      <c r="W35" s="70">
        <f t="shared" si="31"/>
        <v>2750</v>
      </c>
      <c r="X35" s="71">
        <f t="shared" si="3"/>
        <v>55.000000000000007</v>
      </c>
      <c r="Y35" s="72">
        <f t="shared" si="4"/>
        <v>84.097859327217122</v>
      </c>
    </row>
    <row r="36" spans="1:25" ht="12.2" customHeight="1" x14ac:dyDescent="0.2">
      <c r="A36" s="56">
        <v>3237</v>
      </c>
      <c r="B36" s="57" t="s">
        <v>50</v>
      </c>
      <c r="C36" s="58">
        <v>36000</v>
      </c>
      <c r="D36" s="59">
        <v>48658.63</v>
      </c>
      <c r="E36" s="60">
        <v>45820</v>
      </c>
      <c r="F36" s="60">
        <v>67167.179999999993</v>
      </c>
      <c r="G36" s="60">
        <v>62004.42</v>
      </c>
      <c r="H36" s="356">
        <v>58533</v>
      </c>
      <c r="I36" s="91">
        <v>0</v>
      </c>
      <c r="J36" s="62">
        <f>N36*0.57</f>
        <v>35910</v>
      </c>
      <c r="K36" s="62">
        <f>N36*0.23</f>
        <v>14490</v>
      </c>
      <c r="L36" s="62">
        <f>N36*0.14</f>
        <v>8820</v>
      </c>
      <c r="M36" s="62">
        <f>N36*0.06</f>
        <v>3780</v>
      </c>
      <c r="N36" s="63">
        <f t="shared" si="30"/>
        <v>63000</v>
      </c>
      <c r="O36" s="64">
        <v>0</v>
      </c>
      <c r="P36" s="62">
        <v>40000</v>
      </c>
      <c r="Q36" s="62">
        <v>40000</v>
      </c>
      <c r="R36" s="147"/>
      <c r="S36" s="92">
        <v>63000</v>
      </c>
      <c r="T36" s="60">
        <v>60587.5</v>
      </c>
      <c r="U36" s="68">
        <f t="shared" si="33"/>
        <v>0</v>
      </c>
      <c r="V36" s="69">
        <f t="shared" si="32"/>
        <v>0</v>
      </c>
      <c r="W36" s="70">
        <f t="shared" si="31"/>
        <v>60587.5</v>
      </c>
      <c r="X36" s="71">
        <f t="shared" si="3"/>
        <v>96.170634920634924</v>
      </c>
      <c r="Y36" s="72">
        <f t="shared" si="4"/>
        <v>103.5099858199648</v>
      </c>
    </row>
    <row r="37" spans="1:25" ht="12.2" customHeight="1" x14ac:dyDescent="0.2">
      <c r="A37" s="56">
        <v>3239</v>
      </c>
      <c r="B37" s="93" t="s">
        <v>51</v>
      </c>
      <c r="C37" s="58">
        <v>21742.79</v>
      </c>
      <c r="D37" s="59">
        <v>16773.16</v>
      </c>
      <c r="E37" s="60">
        <v>26154.07</v>
      </c>
      <c r="F37" s="60">
        <v>24508.95</v>
      </c>
      <c r="G37" s="60">
        <v>22905.94</v>
      </c>
      <c r="H37" s="356">
        <v>34713.800000000003</v>
      </c>
      <c r="I37" s="91">
        <v>0</v>
      </c>
      <c r="J37" s="62">
        <f t="shared" si="26"/>
        <v>21090</v>
      </c>
      <c r="K37" s="62">
        <f t="shared" si="27"/>
        <v>8510</v>
      </c>
      <c r="L37" s="62">
        <f t="shared" si="28"/>
        <v>5180.0000000000009</v>
      </c>
      <c r="M37" s="62">
        <f t="shared" si="29"/>
        <v>2220</v>
      </c>
      <c r="N37" s="63">
        <f t="shared" si="30"/>
        <v>37000</v>
      </c>
      <c r="O37" s="64">
        <v>0</v>
      </c>
      <c r="P37" s="62">
        <v>19000</v>
      </c>
      <c r="Q37" s="62">
        <v>19000</v>
      </c>
      <c r="R37" s="147"/>
      <c r="S37" s="92">
        <v>37000</v>
      </c>
      <c r="T37" s="60">
        <v>23032.51</v>
      </c>
      <c r="U37" s="68">
        <f t="shared" si="33"/>
        <v>0</v>
      </c>
      <c r="V37" s="69">
        <f t="shared" si="32"/>
        <v>0</v>
      </c>
      <c r="W37" s="70">
        <f t="shared" si="31"/>
        <v>23032.51</v>
      </c>
      <c r="X37" s="71">
        <f t="shared" si="3"/>
        <v>62.250027027027024</v>
      </c>
      <c r="Y37" s="72">
        <f t="shared" si="4"/>
        <v>66.349722588711117</v>
      </c>
    </row>
    <row r="38" spans="1:25" ht="12.2" customHeight="1" x14ac:dyDescent="0.2">
      <c r="A38" s="73">
        <v>323</v>
      </c>
      <c r="B38" s="149" t="s">
        <v>52</v>
      </c>
      <c r="C38" s="75">
        <f>SUM(C30:C37)</f>
        <v>317380.93</v>
      </c>
      <c r="D38" s="76">
        <f>SUM(D30:D37)</f>
        <v>290539.89999999997</v>
      </c>
      <c r="E38" s="77">
        <f>SUM(E30:E37)</f>
        <v>334140.26</v>
      </c>
      <c r="F38" s="77">
        <f>SUM(F30:F37)</f>
        <v>339281.14999999997</v>
      </c>
      <c r="G38" s="77">
        <f>SUM(G30:G37)</f>
        <v>253960.59999999998</v>
      </c>
      <c r="H38" s="355">
        <v>305457.56</v>
      </c>
      <c r="I38" s="78">
        <f t="shared" ref="I38:Q38" si="34">SUM(I30:I37)</f>
        <v>78969</v>
      </c>
      <c r="J38" s="79">
        <f t="shared" si="34"/>
        <v>185837.66999999998</v>
      </c>
      <c r="K38" s="79">
        <f t="shared" si="34"/>
        <v>74987.13</v>
      </c>
      <c r="L38" s="79">
        <f t="shared" si="34"/>
        <v>45644.340000000004</v>
      </c>
      <c r="M38" s="79">
        <f>SUM(M30:M37)</f>
        <v>19561.86</v>
      </c>
      <c r="N38" s="80">
        <f t="shared" si="34"/>
        <v>326031</v>
      </c>
      <c r="O38" s="81">
        <f t="shared" si="34"/>
        <v>0</v>
      </c>
      <c r="P38" s="82">
        <f t="shared" si="34"/>
        <v>225200</v>
      </c>
      <c r="Q38" s="82">
        <f t="shared" si="34"/>
        <v>225200</v>
      </c>
      <c r="R38" s="148"/>
      <c r="S38" s="85">
        <f>S30+S31+S32+S33+S34+S35+S36+S37</f>
        <v>405000</v>
      </c>
      <c r="T38" s="77">
        <f>SUM(T30:T37)</f>
        <v>393451.64</v>
      </c>
      <c r="U38" s="86">
        <f>SUM(U30:U37)</f>
        <v>14296.88</v>
      </c>
      <c r="V38" s="87">
        <f t="shared" ref="V38" si="35">SUM(V30:V37)</f>
        <v>78969</v>
      </c>
      <c r="W38" s="88">
        <f>SUM(W30:W37)</f>
        <v>300185.76</v>
      </c>
      <c r="X38" s="89">
        <f t="shared" si="3"/>
        <v>97.148553086419753</v>
      </c>
      <c r="Y38" s="90">
        <f t="shared" si="4"/>
        <v>128.80730141365629</v>
      </c>
    </row>
    <row r="39" spans="1:25" ht="12.2" customHeight="1" x14ac:dyDescent="0.2">
      <c r="A39" s="150">
        <v>3291</v>
      </c>
      <c r="B39" s="57" t="s">
        <v>53</v>
      </c>
      <c r="C39" s="58">
        <v>38042.300000000003</v>
      </c>
      <c r="D39" s="59">
        <v>33146.04</v>
      </c>
      <c r="E39" s="60">
        <v>33002.04</v>
      </c>
      <c r="F39" s="60">
        <v>33002.04</v>
      </c>
      <c r="G39" s="60">
        <v>16501.02</v>
      </c>
      <c r="H39" s="356">
        <v>0</v>
      </c>
      <c r="I39" s="91">
        <v>0</v>
      </c>
      <c r="J39" s="62">
        <f>N39*0.57</f>
        <v>0</v>
      </c>
      <c r="K39" s="62">
        <f>N39*0.23</f>
        <v>0</v>
      </c>
      <c r="L39" s="62">
        <f>N39*0.14</f>
        <v>0</v>
      </c>
      <c r="M39" s="62">
        <f>N39*0.06</f>
        <v>0</v>
      </c>
      <c r="N39" s="63">
        <f>S39-I39-O39</f>
        <v>0</v>
      </c>
      <c r="O39" s="64">
        <v>0</v>
      </c>
      <c r="P39" s="62">
        <v>22000</v>
      </c>
      <c r="Q39" s="62">
        <v>22000</v>
      </c>
      <c r="R39" s="147"/>
      <c r="S39" s="92">
        <v>0</v>
      </c>
      <c r="T39" s="60">
        <v>0</v>
      </c>
      <c r="U39" s="68">
        <f>O39</f>
        <v>0</v>
      </c>
      <c r="V39" s="69">
        <f>I39</f>
        <v>0</v>
      </c>
      <c r="W39" s="70">
        <f>T39-U39-V39</f>
        <v>0</v>
      </c>
      <c r="X39" s="71">
        <v>0</v>
      </c>
      <c r="Y39" s="72">
        <v>0</v>
      </c>
    </row>
    <row r="40" spans="1:25" ht="12.2" customHeight="1" x14ac:dyDescent="0.2">
      <c r="A40" s="150">
        <v>3292</v>
      </c>
      <c r="B40" s="57" t="s">
        <v>54</v>
      </c>
      <c r="C40" s="58">
        <v>96514.53</v>
      </c>
      <c r="D40" s="59">
        <v>98004.83</v>
      </c>
      <c r="E40" s="60">
        <v>101125</v>
      </c>
      <c r="F40" s="60">
        <v>93823.31</v>
      </c>
      <c r="G40" s="60">
        <v>53763.02</v>
      </c>
      <c r="H40" s="356">
        <v>52123.93</v>
      </c>
      <c r="I40" s="91">
        <v>46443</v>
      </c>
      <c r="J40" s="62">
        <f>N40*0.57</f>
        <v>6587.49</v>
      </c>
      <c r="K40" s="62">
        <f>N40*0.23</f>
        <v>2658.11</v>
      </c>
      <c r="L40" s="62">
        <f>N40*0.14</f>
        <v>1617.9800000000002</v>
      </c>
      <c r="M40" s="62">
        <f t="shared" ref="M40:M42" si="36">N40*0.06</f>
        <v>693.42</v>
      </c>
      <c r="N40" s="63">
        <f>S40-I40-O40</f>
        <v>11557</v>
      </c>
      <c r="O40" s="64">
        <v>0</v>
      </c>
      <c r="P40" s="62">
        <v>100000</v>
      </c>
      <c r="Q40" s="62">
        <v>100000</v>
      </c>
      <c r="R40" s="147"/>
      <c r="S40" s="92">
        <v>58000</v>
      </c>
      <c r="T40" s="60">
        <v>53680.71</v>
      </c>
      <c r="U40" s="68">
        <f t="shared" ref="U40:U42" si="37">O40</f>
        <v>0</v>
      </c>
      <c r="V40" s="69">
        <f t="shared" ref="V40:V42" si="38">I40</f>
        <v>46443</v>
      </c>
      <c r="W40" s="70">
        <f>T40-U40-V40</f>
        <v>7237.7099999999991</v>
      </c>
      <c r="X40" s="71">
        <f t="shared" si="3"/>
        <v>92.552948275862065</v>
      </c>
      <c r="Y40" s="72">
        <f t="shared" si="4"/>
        <v>102.9866896068658</v>
      </c>
    </row>
    <row r="41" spans="1:25" ht="12.2" customHeight="1" x14ac:dyDescent="0.2">
      <c r="A41" s="150">
        <v>3293</v>
      </c>
      <c r="B41" s="57" t="s">
        <v>55</v>
      </c>
      <c r="C41" s="58">
        <v>15951.12</v>
      </c>
      <c r="D41" s="59">
        <v>13042.85</v>
      </c>
      <c r="E41" s="60">
        <v>17994.72</v>
      </c>
      <c r="F41" s="60">
        <v>16819.72</v>
      </c>
      <c r="G41" s="60">
        <v>6083.9</v>
      </c>
      <c r="H41" s="356">
        <v>9696.65</v>
      </c>
      <c r="I41" s="91">
        <v>0</v>
      </c>
      <c r="J41" s="62">
        <f t="shared" ref="J41:J42" si="39">N41*0.57</f>
        <v>8550</v>
      </c>
      <c r="K41" s="62">
        <f t="shared" ref="K41:K42" si="40">N41*0.23</f>
        <v>3450</v>
      </c>
      <c r="L41" s="62">
        <f t="shared" ref="L41:L42" si="41">N41*0.14</f>
        <v>2100</v>
      </c>
      <c r="M41" s="62">
        <f t="shared" si="36"/>
        <v>900</v>
      </c>
      <c r="N41" s="63">
        <f>S41-I41-O41</f>
        <v>15000</v>
      </c>
      <c r="O41" s="64">
        <v>0</v>
      </c>
      <c r="P41" s="62">
        <v>12000</v>
      </c>
      <c r="Q41" s="62">
        <v>12000</v>
      </c>
      <c r="R41" s="147"/>
      <c r="S41" s="92">
        <v>15000</v>
      </c>
      <c r="T41" s="60">
        <v>11682.61</v>
      </c>
      <c r="U41" s="68">
        <f t="shared" si="37"/>
        <v>0</v>
      </c>
      <c r="V41" s="69">
        <f t="shared" si="38"/>
        <v>0</v>
      </c>
      <c r="W41" s="70">
        <f>T41-U41-V41</f>
        <v>11682.61</v>
      </c>
      <c r="X41" s="71">
        <f t="shared" si="3"/>
        <v>77.884066666666669</v>
      </c>
      <c r="Y41" s="72">
        <f t="shared" si="4"/>
        <v>120.48088772926732</v>
      </c>
    </row>
    <row r="42" spans="1:25" ht="12.2" customHeight="1" x14ac:dyDescent="0.2">
      <c r="A42" s="150">
        <v>3299</v>
      </c>
      <c r="B42" s="57" t="s">
        <v>56</v>
      </c>
      <c r="C42" s="58">
        <v>1672.5</v>
      </c>
      <c r="D42" s="59">
        <v>4892.5</v>
      </c>
      <c r="E42" s="60">
        <v>3077</v>
      </c>
      <c r="F42" s="60">
        <v>3615</v>
      </c>
      <c r="G42" s="60">
        <v>3070</v>
      </c>
      <c r="H42" s="356">
        <v>3261.34</v>
      </c>
      <c r="I42" s="91">
        <v>0</v>
      </c>
      <c r="J42" s="62">
        <f t="shared" si="39"/>
        <v>3419.9999999999995</v>
      </c>
      <c r="K42" s="62">
        <f t="shared" si="40"/>
        <v>1380</v>
      </c>
      <c r="L42" s="62">
        <f t="shared" si="41"/>
        <v>840.00000000000011</v>
      </c>
      <c r="M42" s="62">
        <f t="shared" si="36"/>
        <v>360</v>
      </c>
      <c r="N42" s="63">
        <f>S42-I42-O42</f>
        <v>6000</v>
      </c>
      <c r="O42" s="64">
        <v>0</v>
      </c>
      <c r="P42" s="62">
        <v>5000</v>
      </c>
      <c r="Q42" s="62">
        <v>5000</v>
      </c>
      <c r="R42" s="147"/>
      <c r="S42" s="92">
        <v>6000</v>
      </c>
      <c r="T42" s="60">
        <v>3972.3</v>
      </c>
      <c r="U42" s="68">
        <f t="shared" si="37"/>
        <v>0</v>
      </c>
      <c r="V42" s="69">
        <f t="shared" si="38"/>
        <v>0</v>
      </c>
      <c r="W42" s="70">
        <f>T42-U42-V42</f>
        <v>3972.3</v>
      </c>
      <c r="X42" s="71">
        <f t="shared" si="3"/>
        <v>66.204999999999998</v>
      </c>
      <c r="Y42" s="72">
        <f t="shared" si="4"/>
        <v>121.79962837361332</v>
      </c>
    </row>
    <row r="43" spans="1:25" ht="22.5" customHeight="1" x14ac:dyDescent="0.2">
      <c r="A43" s="151">
        <v>329</v>
      </c>
      <c r="B43" s="74" t="s">
        <v>57</v>
      </c>
      <c r="C43" s="75">
        <f>SUM(C39:C42)</f>
        <v>152180.45000000001</v>
      </c>
      <c r="D43" s="76">
        <f>SUM(D39:D42)</f>
        <v>149086.22</v>
      </c>
      <c r="E43" s="77">
        <f>SUM(E39:E42)</f>
        <v>155198.76</v>
      </c>
      <c r="F43" s="77">
        <f>SUM(F39:F42)</f>
        <v>147260.07</v>
      </c>
      <c r="G43" s="77">
        <f>SUM(G39:G42)</f>
        <v>79417.939999999988</v>
      </c>
      <c r="H43" s="355">
        <v>65081.919999999998</v>
      </c>
      <c r="I43" s="78">
        <f t="shared" ref="I43:Q43" si="42">SUM(I39:I42)</f>
        <v>46443</v>
      </c>
      <c r="J43" s="79">
        <f t="shared" si="42"/>
        <v>18557.489999999998</v>
      </c>
      <c r="K43" s="79">
        <f t="shared" si="42"/>
        <v>7488.1100000000006</v>
      </c>
      <c r="L43" s="79">
        <f t="shared" si="42"/>
        <v>4557.9800000000005</v>
      </c>
      <c r="M43" s="79">
        <f t="shared" si="42"/>
        <v>1953.42</v>
      </c>
      <c r="N43" s="80">
        <f t="shared" si="42"/>
        <v>32557</v>
      </c>
      <c r="O43" s="81">
        <f t="shared" si="42"/>
        <v>0</v>
      </c>
      <c r="P43" s="82">
        <f t="shared" si="42"/>
        <v>139000</v>
      </c>
      <c r="Q43" s="83">
        <f t="shared" si="42"/>
        <v>139000</v>
      </c>
      <c r="R43" s="84"/>
      <c r="S43" s="85">
        <f>S39+S40+S41+S42</f>
        <v>79000</v>
      </c>
      <c r="T43" s="77">
        <f>SUM(T39:T42)</f>
        <v>69335.62</v>
      </c>
      <c r="U43" s="86">
        <f>SUM(U39:U42)</f>
        <v>0</v>
      </c>
      <c r="V43" s="152">
        <f t="shared" ref="V43" si="43">SUM(V39:V42)</f>
        <v>46443</v>
      </c>
      <c r="W43" s="88">
        <f>SUM(W39:W42)</f>
        <v>22892.62</v>
      </c>
      <c r="X43" s="89">
        <f t="shared" si="3"/>
        <v>87.766607594936701</v>
      </c>
      <c r="Y43" s="90">
        <f t="shared" si="4"/>
        <v>106.53591658021151</v>
      </c>
    </row>
    <row r="44" spans="1:25" ht="12.2" customHeight="1" x14ac:dyDescent="0.2">
      <c r="A44" s="153">
        <v>32</v>
      </c>
      <c r="B44" s="154" t="s">
        <v>58</v>
      </c>
      <c r="C44" s="155">
        <f>C23+C29+C38+C43</f>
        <v>931020.07000000007</v>
      </c>
      <c r="D44" s="156">
        <f>D23+D29+D38+D43</f>
        <v>1119952.0900000001</v>
      </c>
      <c r="E44" s="157">
        <f>E23+E29+E38+E43</f>
        <v>1252343.7999999998</v>
      </c>
      <c r="F44" s="157">
        <f>F23+F29+F38+F43</f>
        <v>1190613.47</v>
      </c>
      <c r="G44" s="157">
        <f>G23+G29+G38+G43</f>
        <v>735576.40999999992</v>
      </c>
      <c r="H44" s="135">
        <v>888380.46000000008</v>
      </c>
      <c r="I44" s="124">
        <f t="shared" ref="I44:S44" si="44">I23+I29+I38+I43</f>
        <v>423371</v>
      </c>
      <c r="J44" s="158">
        <f t="shared" si="44"/>
        <v>531597.53</v>
      </c>
      <c r="K44" s="158">
        <f>K23+K29+K38+K43</f>
        <v>214504.66999999998</v>
      </c>
      <c r="L44" s="158">
        <f>L23+L29+L38+L43</f>
        <v>130568.06000000001</v>
      </c>
      <c r="M44" s="158">
        <f>M23+M29+M38+M43</f>
        <v>55957.74</v>
      </c>
      <c r="N44" s="159">
        <f t="shared" si="44"/>
        <v>932629</v>
      </c>
      <c r="O44" s="160">
        <f t="shared" si="44"/>
        <v>2000</v>
      </c>
      <c r="P44" s="158">
        <f t="shared" si="44"/>
        <v>875450</v>
      </c>
      <c r="Q44" s="158">
        <f t="shared" si="44"/>
        <v>875450</v>
      </c>
      <c r="R44" s="161">
        <f t="shared" si="44"/>
        <v>0</v>
      </c>
      <c r="S44" s="85">
        <f t="shared" si="44"/>
        <v>1358000</v>
      </c>
      <c r="T44" s="157">
        <f>T23+T29+T38+T43</f>
        <v>1269516.69</v>
      </c>
      <c r="U44" s="162">
        <f>U23+U29+U38+U43</f>
        <v>23031.55</v>
      </c>
      <c r="V44" s="163">
        <f>V23+V29+V38+V43</f>
        <v>423371</v>
      </c>
      <c r="W44" s="164">
        <f>W23+W29+W38+W43</f>
        <v>823114.14</v>
      </c>
      <c r="X44" s="165">
        <f t="shared" si="3"/>
        <v>93.484292341678938</v>
      </c>
      <c r="Y44" s="135">
        <f t="shared" si="4"/>
        <v>142.90236527714711</v>
      </c>
    </row>
    <row r="45" spans="1:25" ht="12.2" hidden="1" customHeight="1" x14ac:dyDescent="0.2">
      <c r="A45" s="150">
        <v>3431</v>
      </c>
      <c r="B45" s="57" t="s">
        <v>59</v>
      </c>
      <c r="C45" s="58">
        <v>172.9</v>
      </c>
      <c r="D45" s="59">
        <v>0</v>
      </c>
      <c r="E45" s="60">
        <v>0</v>
      </c>
      <c r="F45" s="60">
        <v>0</v>
      </c>
      <c r="G45" s="60">
        <v>0</v>
      </c>
      <c r="H45" s="356">
        <v>0</v>
      </c>
      <c r="I45" s="91">
        <v>0</v>
      </c>
      <c r="J45" s="62">
        <f>N45*0.57</f>
        <v>0</v>
      </c>
      <c r="K45" s="62">
        <f>N45*0.23</f>
        <v>0</v>
      </c>
      <c r="L45" s="62">
        <f>N45*0.14</f>
        <v>0</v>
      </c>
      <c r="M45" s="62">
        <f>N45*0.06</f>
        <v>0</v>
      </c>
      <c r="N45" s="63">
        <f>S45-I45-O45</f>
        <v>0</v>
      </c>
      <c r="O45" s="64">
        <v>0</v>
      </c>
      <c r="P45" s="62">
        <v>3000</v>
      </c>
      <c r="Q45" s="65">
        <v>3000</v>
      </c>
      <c r="R45" s="66"/>
      <c r="S45" s="92">
        <v>0</v>
      </c>
      <c r="T45" s="60">
        <v>0</v>
      </c>
      <c r="U45" s="68">
        <v>0</v>
      </c>
      <c r="V45" s="166">
        <v>0</v>
      </c>
      <c r="W45" s="70">
        <f>T45-U45-V45</f>
        <v>0</v>
      </c>
      <c r="X45" s="71">
        <v>0</v>
      </c>
      <c r="Y45" s="90" t="e">
        <f t="shared" si="4"/>
        <v>#DIV/0!</v>
      </c>
    </row>
    <row r="46" spans="1:25" ht="12.2" hidden="1" customHeight="1" x14ac:dyDescent="0.2">
      <c r="A46" s="167">
        <v>343</v>
      </c>
      <c r="B46" s="168" t="s">
        <v>60</v>
      </c>
      <c r="C46" s="58">
        <f>C45</f>
        <v>172.9</v>
      </c>
      <c r="D46" s="59">
        <v>0</v>
      </c>
      <c r="E46" s="60">
        <v>0</v>
      </c>
      <c r="F46" s="60">
        <v>0</v>
      </c>
      <c r="G46" s="60">
        <v>0</v>
      </c>
      <c r="H46" s="356">
        <v>0</v>
      </c>
      <c r="I46" s="91">
        <f t="shared" ref="I46:Q47" si="45">I45</f>
        <v>0</v>
      </c>
      <c r="J46" s="62">
        <f t="shared" si="45"/>
        <v>0</v>
      </c>
      <c r="K46" s="62">
        <f t="shared" si="45"/>
        <v>0</v>
      </c>
      <c r="L46" s="62">
        <f t="shared" si="45"/>
        <v>0</v>
      </c>
      <c r="M46" s="62">
        <f t="shared" si="45"/>
        <v>0</v>
      </c>
      <c r="N46" s="63">
        <f t="shared" si="45"/>
        <v>0</v>
      </c>
      <c r="O46" s="64">
        <f t="shared" si="45"/>
        <v>0</v>
      </c>
      <c r="P46" s="169">
        <f t="shared" si="45"/>
        <v>3000</v>
      </c>
      <c r="Q46" s="65">
        <f t="shared" si="45"/>
        <v>3000</v>
      </c>
      <c r="R46" s="66"/>
      <c r="S46" s="92">
        <v>0</v>
      </c>
      <c r="T46" s="60">
        <v>0</v>
      </c>
      <c r="U46" s="68">
        <f t="shared" ref="U46:W47" si="46">U45</f>
        <v>0</v>
      </c>
      <c r="V46" s="166">
        <f t="shared" si="46"/>
        <v>0</v>
      </c>
      <c r="W46" s="70">
        <f t="shared" si="46"/>
        <v>0</v>
      </c>
      <c r="X46" s="71">
        <v>0</v>
      </c>
      <c r="Y46" s="90" t="e">
        <f t="shared" si="4"/>
        <v>#DIV/0!</v>
      </c>
    </row>
    <row r="47" spans="1:25" ht="12.2" hidden="1" customHeight="1" x14ac:dyDescent="0.2">
      <c r="A47" s="153">
        <v>34</v>
      </c>
      <c r="B47" s="154" t="s">
        <v>61</v>
      </c>
      <c r="C47" s="170">
        <f t="shared" ref="C47" si="47">C46</f>
        <v>172.9</v>
      </c>
      <c r="D47" s="171">
        <v>0</v>
      </c>
      <c r="E47" s="172">
        <v>0</v>
      </c>
      <c r="F47" s="172">
        <v>0</v>
      </c>
      <c r="G47" s="172">
        <v>0</v>
      </c>
      <c r="H47" s="356">
        <v>0</v>
      </c>
      <c r="I47" s="91">
        <f t="shared" si="45"/>
        <v>0</v>
      </c>
      <c r="J47" s="173">
        <f t="shared" si="45"/>
        <v>0</v>
      </c>
      <c r="K47" s="173">
        <f t="shared" si="45"/>
        <v>0</v>
      </c>
      <c r="L47" s="173">
        <f t="shared" si="45"/>
        <v>0</v>
      </c>
      <c r="M47" s="173">
        <f t="shared" si="45"/>
        <v>0</v>
      </c>
      <c r="N47" s="174">
        <f t="shared" si="45"/>
        <v>0</v>
      </c>
      <c r="O47" s="175">
        <f t="shared" si="45"/>
        <v>0</v>
      </c>
      <c r="P47" s="176">
        <f t="shared" si="45"/>
        <v>3000</v>
      </c>
      <c r="Q47" s="176">
        <f t="shared" si="45"/>
        <v>3000</v>
      </c>
      <c r="R47" s="177"/>
      <c r="S47" s="92">
        <v>0</v>
      </c>
      <c r="T47" s="172">
        <v>0</v>
      </c>
      <c r="U47" s="178">
        <f t="shared" si="46"/>
        <v>0</v>
      </c>
      <c r="V47" s="179">
        <f t="shared" si="46"/>
        <v>0</v>
      </c>
      <c r="W47" s="180">
        <f t="shared" si="46"/>
        <v>0</v>
      </c>
      <c r="X47" s="181">
        <v>0</v>
      </c>
      <c r="Y47" s="90" t="e">
        <f t="shared" si="4"/>
        <v>#DIV/0!</v>
      </c>
    </row>
    <row r="48" spans="1:25" ht="12.2" customHeight="1" x14ac:dyDescent="0.2">
      <c r="A48" s="182">
        <v>3</v>
      </c>
      <c r="B48" s="183" t="s">
        <v>62</v>
      </c>
      <c r="C48" s="184">
        <f>C19+C44+C47</f>
        <v>7508653.1500000013</v>
      </c>
      <c r="D48" s="185">
        <f>D19+D44+D47</f>
        <v>7764854.6300000008</v>
      </c>
      <c r="E48" s="186">
        <f>E19+E44+E47</f>
        <v>7825673.6200000001</v>
      </c>
      <c r="F48" s="186">
        <f>F19+F44+F47</f>
        <v>7914861.7800000003</v>
      </c>
      <c r="G48" s="186">
        <f>G19+G44+G47</f>
        <v>7203399.71</v>
      </c>
      <c r="H48" s="196">
        <v>7322488.7199999997</v>
      </c>
      <c r="I48" s="187">
        <f t="shared" ref="I48:S48" si="48">I19+I44+I47</f>
        <v>4212501</v>
      </c>
      <c r="J48" s="188">
        <f>J19+J44+J47</f>
        <v>2427344.4299999997</v>
      </c>
      <c r="K48" s="188">
        <f>K19+K44+K47</f>
        <v>979454.77</v>
      </c>
      <c r="L48" s="188">
        <f>L19+L44+L47</f>
        <v>596189.8600000001</v>
      </c>
      <c r="M48" s="188">
        <f>M19+M44+M47</f>
        <v>255509.93999999997</v>
      </c>
      <c r="N48" s="189">
        <f t="shared" si="48"/>
        <v>4258499</v>
      </c>
      <c r="O48" s="190">
        <f t="shared" si="48"/>
        <v>2000</v>
      </c>
      <c r="P48" s="191">
        <f t="shared" si="48"/>
        <v>7946550</v>
      </c>
      <c r="Q48" s="191">
        <f t="shared" si="48"/>
        <v>8050650</v>
      </c>
      <c r="R48" s="191">
        <f t="shared" si="48"/>
        <v>0</v>
      </c>
      <c r="S48" s="85">
        <f t="shared" si="48"/>
        <v>8473000</v>
      </c>
      <c r="T48" s="186">
        <f>T19+T44+T47</f>
        <v>8056199.0999999996</v>
      </c>
      <c r="U48" s="192">
        <f>U19+U44+U47</f>
        <v>31515.86</v>
      </c>
      <c r="V48" s="193">
        <f>V19+V44+V47</f>
        <v>4212501</v>
      </c>
      <c r="W48" s="194">
        <f>W19+W44+W47</f>
        <v>3812182.2400000007</v>
      </c>
      <c r="X48" s="195">
        <f t="shared" si="3"/>
        <v>95.080834415201224</v>
      </c>
      <c r="Y48" s="196">
        <f t="shared" si="4"/>
        <v>110.01995917038437</v>
      </c>
    </row>
    <row r="49" spans="1:25" s="213" customFormat="1" ht="12.2" customHeight="1" x14ac:dyDescent="0.2">
      <c r="A49" s="197">
        <v>4221</v>
      </c>
      <c r="B49" s="198" t="s">
        <v>63</v>
      </c>
      <c r="C49" s="199">
        <v>0</v>
      </c>
      <c r="D49" s="200">
        <v>5706.65</v>
      </c>
      <c r="E49" s="201">
        <v>9999.75</v>
      </c>
      <c r="F49" s="201">
        <v>2799.96</v>
      </c>
      <c r="G49" s="201">
        <v>9857.25</v>
      </c>
      <c r="H49" s="356">
        <v>31456.84</v>
      </c>
      <c r="I49" s="202">
        <v>0</v>
      </c>
      <c r="J49" s="203">
        <f>N49*0.57</f>
        <v>4560</v>
      </c>
      <c r="K49" s="203">
        <f>N49*0.23</f>
        <v>1840</v>
      </c>
      <c r="L49" s="203">
        <f t="shared" ref="L49:L55" si="49">N49*0.14</f>
        <v>1120</v>
      </c>
      <c r="M49" s="203">
        <f>N49*0.06</f>
        <v>480</v>
      </c>
      <c r="N49" s="204">
        <f t="shared" ref="N49:N59" si="50">S49-I49-O49</f>
        <v>8000</v>
      </c>
      <c r="O49" s="205">
        <v>0</v>
      </c>
      <c r="P49" s="206"/>
      <c r="Q49" s="207"/>
      <c r="R49" s="208"/>
      <c r="S49" s="92">
        <v>8000</v>
      </c>
      <c r="T49" s="201">
        <v>15580.86</v>
      </c>
      <c r="U49" s="209">
        <v>7580.86</v>
      </c>
      <c r="V49" s="210">
        <v>0</v>
      </c>
      <c r="W49" s="211">
        <f t="shared" ref="W49:W59" si="51">T49-U49-V49</f>
        <v>8000.0000000000009</v>
      </c>
      <c r="X49" s="212">
        <f t="shared" si="3"/>
        <v>194.76075000000003</v>
      </c>
      <c r="Y49" s="72">
        <f t="shared" si="4"/>
        <v>49.530912831676673</v>
      </c>
    </row>
    <row r="50" spans="1:25" s="213" customFormat="1" ht="12.2" customHeight="1" x14ac:dyDescent="0.2">
      <c r="A50" s="197">
        <v>4222</v>
      </c>
      <c r="B50" s="198" t="s">
        <v>64</v>
      </c>
      <c r="C50" s="199"/>
      <c r="D50" s="200"/>
      <c r="E50" s="201">
        <v>0</v>
      </c>
      <c r="F50" s="201">
        <v>0</v>
      </c>
      <c r="G50" s="201">
        <v>0</v>
      </c>
      <c r="H50" s="356">
        <v>15982</v>
      </c>
      <c r="I50" s="202">
        <v>0</v>
      </c>
      <c r="J50" s="203">
        <f>N50*0.57</f>
        <v>6839.9999999999991</v>
      </c>
      <c r="K50" s="203">
        <f>N50*0.23</f>
        <v>2760</v>
      </c>
      <c r="L50" s="203">
        <f t="shared" si="49"/>
        <v>1680.0000000000002</v>
      </c>
      <c r="M50" s="203">
        <f>N50*0.06</f>
        <v>720</v>
      </c>
      <c r="N50" s="204">
        <f t="shared" si="50"/>
        <v>12000</v>
      </c>
      <c r="O50" s="205">
        <v>4125</v>
      </c>
      <c r="P50" s="206"/>
      <c r="Q50" s="207"/>
      <c r="R50" s="208"/>
      <c r="S50" s="92">
        <v>16125</v>
      </c>
      <c r="T50" s="201">
        <v>16092.5</v>
      </c>
      <c r="U50" s="209">
        <f>625+3467.5</f>
        <v>4092.5</v>
      </c>
      <c r="V50" s="210">
        <v>0</v>
      </c>
      <c r="W50" s="211">
        <f t="shared" si="51"/>
        <v>12000</v>
      </c>
      <c r="X50" s="212">
        <f t="shared" si="3"/>
        <v>99.798449612403104</v>
      </c>
      <c r="Y50" s="72">
        <f t="shared" si="4"/>
        <v>100.69140282818169</v>
      </c>
    </row>
    <row r="51" spans="1:25" s="213" customFormat="1" ht="12.2" customHeight="1" x14ac:dyDescent="0.2">
      <c r="A51" s="197">
        <v>4223</v>
      </c>
      <c r="B51" s="198" t="s">
        <v>65</v>
      </c>
      <c r="C51" s="199">
        <v>69138.5</v>
      </c>
      <c r="D51" s="200">
        <v>159686.92000000001</v>
      </c>
      <c r="E51" s="201">
        <v>86140</v>
      </c>
      <c r="F51" s="201">
        <v>109229.58</v>
      </c>
      <c r="G51" s="201">
        <v>26486.3</v>
      </c>
      <c r="H51" s="356">
        <v>76149.66</v>
      </c>
      <c r="I51" s="202">
        <v>0</v>
      </c>
      <c r="J51" s="203">
        <f t="shared" ref="J51:J55" si="52">N51*0.57</f>
        <v>67830</v>
      </c>
      <c r="K51" s="203">
        <f t="shared" ref="K51:K52" si="53">N51*0.23</f>
        <v>27370</v>
      </c>
      <c r="L51" s="203">
        <f t="shared" si="49"/>
        <v>16660</v>
      </c>
      <c r="M51" s="203">
        <f t="shared" ref="M51:M52" si="54">N51*0.06</f>
        <v>7140</v>
      </c>
      <c r="N51" s="204">
        <f t="shared" si="50"/>
        <v>119000</v>
      </c>
      <c r="O51" s="205">
        <v>30000</v>
      </c>
      <c r="P51" s="206"/>
      <c r="Q51" s="207"/>
      <c r="R51" s="208"/>
      <c r="S51" s="92">
        <v>149000</v>
      </c>
      <c r="T51" s="201">
        <v>150254.57</v>
      </c>
      <c r="U51" s="209">
        <v>33534.14</v>
      </c>
      <c r="V51" s="210">
        <v>0</v>
      </c>
      <c r="W51" s="211">
        <f t="shared" si="51"/>
        <v>116720.43000000001</v>
      </c>
      <c r="X51" s="212">
        <f t="shared" si="3"/>
        <v>100.8419932885906</v>
      </c>
      <c r="Y51" s="72">
        <f t="shared" si="4"/>
        <v>197.31482714433656</v>
      </c>
    </row>
    <row r="52" spans="1:25" s="213" customFormat="1" ht="12.2" customHeight="1" x14ac:dyDescent="0.2">
      <c r="A52" s="197">
        <v>4262</v>
      </c>
      <c r="B52" s="198" t="s">
        <v>66</v>
      </c>
      <c r="C52" s="214">
        <v>0</v>
      </c>
      <c r="D52" s="215">
        <v>0</v>
      </c>
      <c r="E52" s="216">
        <v>0</v>
      </c>
      <c r="F52" s="216">
        <v>2085</v>
      </c>
      <c r="G52" s="216">
        <v>3948</v>
      </c>
      <c r="H52" s="356">
        <v>12500</v>
      </c>
      <c r="I52" s="202">
        <v>0</v>
      </c>
      <c r="J52" s="203">
        <f t="shared" si="52"/>
        <v>0</v>
      </c>
      <c r="K52" s="203">
        <f t="shared" si="53"/>
        <v>0</v>
      </c>
      <c r="L52" s="203">
        <f t="shared" si="49"/>
        <v>0</v>
      </c>
      <c r="M52" s="203">
        <f t="shared" si="54"/>
        <v>0</v>
      </c>
      <c r="N52" s="204">
        <f t="shared" si="50"/>
        <v>0</v>
      </c>
      <c r="O52" s="217">
        <v>20000</v>
      </c>
      <c r="P52" s="218"/>
      <c r="Q52" s="219"/>
      <c r="R52" s="220"/>
      <c r="S52" s="92">
        <v>20000</v>
      </c>
      <c r="T52" s="216">
        <v>21375</v>
      </c>
      <c r="U52" s="209">
        <v>21375</v>
      </c>
      <c r="V52" s="221">
        <v>0</v>
      </c>
      <c r="W52" s="211">
        <f t="shared" si="51"/>
        <v>0</v>
      </c>
      <c r="X52" s="212">
        <f t="shared" si="3"/>
        <v>106.87500000000001</v>
      </c>
      <c r="Y52" s="72">
        <f t="shared" si="4"/>
        <v>171</v>
      </c>
    </row>
    <row r="53" spans="1:25" ht="22.5" x14ac:dyDescent="0.2">
      <c r="A53" s="150">
        <v>4263</v>
      </c>
      <c r="B53" s="57" t="s">
        <v>67</v>
      </c>
      <c r="C53" s="222">
        <v>125640.96000000001</v>
      </c>
      <c r="D53" s="223">
        <v>105000</v>
      </c>
      <c r="E53" s="224">
        <v>0</v>
      </c>
      <c r="F53" s="224">
        <v>24375</v>
      </c>
      <c r="G53" s="224">
        <v>430799.76</v>
      </c>
      <c r="H53" s="356">
        <v>7938.4</v>
      </c>
      <c r="I53" s="225">
        <v>0</v>
      </c>
      <c r="J53" s="203">
        <f>N53*0.57</f>
        <v>0</v>
      </c>
      <c r="K53" s="203">
        <f>N53*0.23</f>
        <v>0</v>
      </c>
      <c r="L53" s="203">
        <f t="shared" si="49"/>
        <v>0</v>
      </c>
      <c r="M53" s="203">
        <f>N53*0.06</f>
        <v>0</v>
      </c>
      <c r="N53" s="204">
        <f t="shared" si="50"/>
        <v>0</v>
      </c>
      <c r="O53" s="226">
        <v>0</v>
      </c>
      <c r="P53" s="227">
        <v>50000</v>
      </c>
      <c r="Q53" s="228">
        <v>50000</v>
      </c>
      <c r="R53" s="229"/>
      <c r="S53" s="92">
        <v>0</v>
      </c>
      <c r="T53" s="224">
        <v>0</v>
      </c>
      <c r="U53" s="209">
        <f t="shared" ref="U53:U59" si="55">O53</f>
        <v>0</v>
      </c>
      <c r="V53" s="230">
        <v>0</v>
      </c>
      <c r="W53" s="211">
        <f t="shared" si="51"/>
        <v>0</v>
      </c>
      <c r="X53" s="212">
        <v>0</v>
      </c>
      <c r="Y53" s="72">
        <f t="shared" si="4"/>
        <v>0</v>
      </c>
    </row>
    <row r="54" spans="1:25" x14ac:dyDescent="0.2">
      <c r="A54" s="150">
        <v>3821</v>
      </c>
      <c r="B54" s="57" t="s">
        <v>68</v>
      </c>
      <c r="C54" s="231">
        <v>0</v>
      </c>
      <c r="D54" s="232">
        <v>0</v>
      </c>
      <c r="E54" s="233">
        <v>0</v>
      </c>
      <c r="F54" s="233">
        <v>0</v>
      </c>
      <c r="G54" s="233">
        <v>8500</v>
      </c>
      <c r="H54" s="356">
        <v>0</v>
      </c>
      <c r="I54" s="225">
        <v>0</v>
      </c>
      <c r="J54" s="203">
        <f t="shared" si="52"/>
        <v>0</v>
      </c>
      <c r="K54" s="203">
        <f>N54*0.23</f>
        <v>0</v>
      </c>
      <c r="L54" s="203">
        <f t="shared" si="49"/>
        <v>0</v>
      </c>
      <c r="M54" s="203">
        <f>N54*0.06</f>
        <v>0</v>
      </c>
      <c r="N54" s="204">
        <f t="shared" si="50"/>
        <v>0</v>
      </c>
      <c r="O54" s="234">
        <v>0</v>
      </c>
      <c r="P54" s="235"/>
      <c r="Q54" s="236"/>
      <c r="R54" s="237"/>
      <c r="S54" s="92">
        <v>0</v>
      </c>
      <c r="T54" s="233">
        <v>0</v>
      </c>
      <c r="U54" s="209">
        <f t="shared" si="55"/>
        <v>0</v>
      </c>
      <c r="V54" s="230">
        <v>0</v>
      </c>
      <c r="W54" s="211">
        <f t="shared" si="51"/>
        <v>0</v>
      </c>
      <c r="X54" s="212">
        <v>0</v>
      </c>
      <c r="Y54" s="72">
        <v>0</v>
      </c>
    </row>
    <row r="55" spans="1:25" x14ac:dyDescent="0.2">
      <c r="A55" s="56">
        <v>4231</v>
      </c>
      <c r="B55" s="57" t="s">
        <v>69</v>
      </c>
      <c r="C55" s="238">
        <v>0</v>
      </c>
      <c r="D55" s="239">
        <v>0</v>
      </c>
      <c r="E55" s="240">
        <v>1160763.75</v>
      </c>
      <c r="F55" s="240">
        <v>0</v>
      </c>
      <c r="G55" s="240">
        <v>0</v>
      </c>
      <c r="H55" s="356">
        <v>0</v>
      </c>
      <c r="I55" s="225">
        <v>0</v>
      </c>
      <c r="J55" s="203">
        <f t="shared" si="52"/>
        <v>0</v>
      </c>
      <c r="K55" s="241">
        <f>N55*0.23</f>
        <v>0</v>
      </c>
      <c r="L55" s="241">
        <f t="shared" si="49"/>
        <v>0</v>
      </c>
      <c r="M55" s="241">
        <f>N55*0.06</f>
        <v>0</v>
      </c>
      <c r="N55" s="242">
        <f t="shared" si="50"/>
        <v>0</v>
      </c>
      <c r="O55" s="243">
        <v>0</v>
      </c>
      <c r="P55" s="244">
        <v>0</v>
      </c>
      <c r="Q55" s="245">
        <v>0</v>
      </c>
      <c r="R55" s="246"/>
      <c r="S55" s="92">
        <v>0</v>
      </c>
      <c r="T55" s="240">
        <v>0</v>
      </c>
      <c r="U55" s="209">
        <f t="shared" si="55"/>
        <v>0</v>
      </c>
      <c r="V55" s="247">
        <v>0</v>
      </c>
      <c r="W55" s="211">
        <f t="shared" si="51"/>
        <v>0</v>
      </c>
      <c r="X55" s="212">
        <v>0</v>
      </c>
      <c r="Y55" s="72">
        <v>0</v>
      </c>
    </row>
    <row r="56" spans="1:25" ht="22.5" x14ac:dyDescent="0.2">
      <c r="A56" s="248">
        <v>4531</v>
      </c>
      <c r="B56" s="249" t="s">
        <v>107</v>
      </c>
      <c r="C56" s="136"/>
      <c r="D56" s="137"/>
      <c r="E56" s="138">
        <v>0</v>
      </c>
      <c r="F56" s="138">
        <v>0</v>
      </c>
      <c r="G56" s="138">
        <v>0</v>
      </c>
      <c r="H56" s="356">
        <v>0</v>
      </c>
      <c r="I56" s="348">
        <v>0</v>
      </c>
      <c r="J56" s="349">
        <v>0</v>
      </c>
      <c r="K56" s="241">
        <v>0</v>
      </c>
      <c r="L56" s="241">
        <v>0</v>
      </c>
      <c r="M56" s="241">
        <v>0</v>
      </c>
      <c r="N56" s="242">
        <v>0</v>
      </c>
      <c r="O56" s="252">
        <v>0</v>
      </c>
      <c r="P56" s="139"/>
      <c r="Q56" s="253"/>
      <c r="R56" s="254"/>
      <c r="S56" s="92">
        <v>20000</v>
      </c>
      <c r="T56" s="138">
        <v>0</v>
      </c>
      <c r="U56" s="209"/>
      <c r="V56" s="255"/>
      <c r="W56" s="211"/>
      <c r="X56" s="212"/>
      <c r="Y56" s="72">
        <v>0</v>
      </c>
    </row>
    <row r="57" spans="1:25" x14ac:dyDescent="0.2">
      <c r="A57" s="248">
        <v>5445</v>
      </c>
      <c r="B57" s="249" t="s">
        <v>70</v>
      </c>
      <c r="C57" s="136">
        <v>0</v>
      </c>
      <c r="D57" s="137">
        <v>0</v>
      </c>
      <c r="E57" s="250">
        <v>232152.75</v>
      </c>
      <c r="F57" s="250">
        <v>165739.46</v>
      </c>
      <c r="G57" s="250">
        <v>175088.37</v>
      </c>
      <c r="H57" s="356">
        <v>184964.76</v>
      </c>
      <c r="I57" s="251">
        <v>0</v>
      </c>
      <c r="J57" s="241">
        <v>105450</v>
      </c>
      <c r="K57" s="241">
        <v>42550</v>
      </c>
      <c r="L57" s="241">
        <v>24872</v>
      </c>
      <c r="M57" s="241">
        <v>10659</v>
      </c>
      <c r="N57" s="242">
        <f t="shared" si="50"/>
        <v>196000</v>
      </c>
      <c r="O57" s="252">
        <v>0</v>
      </c>
      <c r="P57" s="139"/>
      <c r="Q57" s="253"/>
      <c r="R57" s="254"/>
      <c r="S57" s="92">
        <v>196000</v>
      </c>
      <c r="T57" s="250">
        <v>195398.21</v>
      </c>
      <c r="U57" s="209">
        <f t="shared" si="55"/>
        <v>0</v>
      </c>
      <c r="V57" s="255">
        <v>0</v>
      </c>
      <c r="W57" s="211">
        <f t="shared" si="51"/>
        <v>195398.21</v>
      </c>
      <c r="X57" s="212">
        <f t="shared" si="3"/>
        <v>99.692964285714282</v>
      </c>
      <c r="Y57" s="72">
        <f t="shared" si="4"/>
        <v>105.64077719453154</v>
      </c>
    </row>
    <row r="58" spans="1:25" x14ac:dyDescent="0.2">
      <c r="A58" s="248">
        <v>3423</v>
      </c>
      <c r="B58" s="249" t="s">
        <v>71</v>
      </c>
      <c r="C58" s="136">
        <v>0</v>
      </c>
      <c r="D58" s="137">
        <v>0</v>
      </c>
      <c r="E58" s="250">
        <v>0</v>
      </c>
      <c r="F58" s="250">
        <v>46936.9</v>
      </c>
      <c r="G58" s="250">
        <v>37587.99</v>
      </c>
      <c r="H58" s="356">
        <v>27711.599999999999</v>
      </c>
      <c r="I58" s="251">
        <v>0</v>
      </c>
      <c r="J58" s="241">
        <v>17100</v>
      </c>
      <c r="K58" s="241">
        <v>6900</v>
      </c>
      <c r="L58" s="241">
        <v>4200</v>
      </c>
      <c r="M58" s="241">
        <v>1800</v>
      </c>
      <c r="N58" s="242">
        <f t="shared" si="50"/>
        <v>19000</v>
      </c>
      <c r="O58" s="252">
        <v>0</v>
      </c>
      <c r="P58" s="139"/>
      <c r="Q58" s="253"/>
      <c r="R58" s="254"/>
      <c r="S58" s="92">
        <v>19000</v>
      </c>
      <c r="T58" s="250">
        <v>17278.150000000001</v>
      </c>
      <c r="U58" s="209">
        <f t="shared" si="55"/>
        <v>0</v>
      </c>
      <c r="V58" s="255">
        <v>0</v>
      </c>
      <c r="W58" s="211">
        <f t="shared" si="51"/>
        <v>17278.150000000001</v>
      </c>
      <c r="X58" s="212">
        <f t="shared" si="3"/>
        <v>90.937631578947375</v>
      </c>
      <c r="Y58" s="72">
        <v>0</v>
      </c>
    </row>
    <row r="59" spans="1:25" x14ac:dyDescent="0.2">
      <c r="A59" s="248">
        <v>3299</v>
      </c>
      <c r="B59" s="249" t="s">
        <v>72</v>
      </c>
      <c r="C59" s="136">
        <v>0</v>
      </c>
      <c r="D59" s="137">
        <v>0</v>
      </c>
      <c r="E59" s="250">
        <v>8705.73</v>
      </c>
      <c r="F59" s="250">
        <v>0</v>
      </c>
      <c r="G59" s="250">
        <v>0</v>
      </c>
      <c r="H59" s="356">
        <v>0</v>
      </c>
      <c r="I59" s="251">
        <v>0</v>
      </c>
      <c r="J59" s="241">
        <f t="shared" ref="J59" si="56">N59*0.57</f>
        <v>0</v>
      </c>
      <c r="K59" s="241">
        <f t="shared" ref="K59" si="57">N59*0.23</f>
        <v>0</v>
      </c>
      <c r="L59" s="241">
        <f t="shared" ref="L59" si="58">N59*0.14</f>
        <v>0</v>
      </c>
      <c r="M59" s="241">
        <f t="shared" ref="M59" si="59">N59*0.06</f>
        <v>0</v>
      </c>
      <c r="N59" s="242">
        <f t="shared" si="50"/>
        <v>0</v>
      </c>
      <c r="O59" s="252">
        <v>0</v>
      </c>
      <c r="P59" s="139"/>
      <c r="Q59" s="253"/>
      <c r="R59" s="254"/>
      <c r="S59" s="92">
        <v>0</v>
      </c>
      <c r="T59" s="250">
        <v>0</v>
      </c>
      <c r="U59" s="209">
        <f t="shared" si="55"/>
        <v>0</v>
      </c>
      <c r="V59" s="255">
        <v>0</v>
      </c>
      <c r="W59" s="211">
        <f t="shared" si="51"/>
        <v>0</v>
      </c>
      <c r="X59" s="212">
        <v>0</v>
      </c>
      <c r="Y59" s="72">
        <v>0</v>
      </c>
    </row>
    <row r="60" spans="1:25" ht="28.5" customHeight="1" thickBot="1" x14ac:dyDescent="0.25">
      <c r="A60" s="256" t="s">
        <v>73</v>
      </c>
      <c r="B60" s="257" t="s">
        <v>74</v>
      </c>
      <c r="C60" s="258">
        <f t="shared" ref="C60:J60" si="60">SUM(C49:C59)</f>
        <v>194779.46000000002</v>
      </c>
      <c r="D60" s="259">
        <f t="shared" si="60"/>
        <v>270393.57</v>
      </c>
      <c r="E60" s="260">
        <f t="shared" si="60"/>
        <v>1497761.98</v>
      </c>
      <c r="F60" s="260">
        <f t="shared" si="60"/>
        <v>351165.9</v>
      </c>
      <c r="G60" s="260">
        <f>SUM(G49:G59)</f>
        <v>692267.66999999993</v>
      </c>
      <c r="H60" s="357">
        <f>SUM(H49:H59)</f>
        <v>356703.26</v>
      </c>
      <c r="I60" s="261">
        <f t="shared" si="60"/>
        <v>0</v>
      </c>
      <c r="J60" s="262">
        <f t="shared" si="60"/>
        <v>201780</v>
      </c>
      <c r="K60" s="262">
        <f t="shared" ref="K60:N60" si="61">SUM(K49:K59)</f>
        <v>81420</v>
      </c>
      <c r="L60" s="262">
        <f t="shared" si="61"/>
        <v>48532</v>
      </c>
      <c r="M60" s="262">
        <f t="shared" si="61"/>
        <v>20799</v>
      </c>
      <c r="N60" s="262">
        <f t="shared" si="61"/>
        <v>354000</v>
      </c>
      <c r="O60" s="263">
        <f>SUM(O49:O59)</f>
        <v>54125</v>
      </c>
      <c r="P60" s="264">
        <f t="shared" ref="P60:R60" si="62">SUM(P53:P55)</f>
        <v>50000</v>
      </c>
      <c r="Q60" s="264">
        <f t="shared" si="62"/>
        <v>50000</v>
      </c>
      <c r="R60" s="265">
        <f t="shared" si="62"/>
        <v>0</v>
      </c>
      <c r="S60" s="266">
        <f>SUM(S49:S59)</f>
        <v>428125</v>
      </c>
      <c r="T60" s="260">
        <f>SUM(T49:T59)</f>
        <v>415979.29000000004</v>
      </c>
      <c r="U60" s="267">
        <f>SUM(U49:U59)</f>
        <v>66582.5</v>
      </c>
      <c r="V60" s="268">
        <f>SUM(V53:V59)</f>
        <v>0</v>
      </c>
      <c r="W60" s="269">
        <f>SUM(W49:W59)</f>
        <v>349396.79000000004</v>
      </c>
      <c r="X60" s="270">
        <f t="shared" si="3"/>
        <v>97.163045839416057</v>
      </c>
      <c r="Y60" s="350">
        <f t="shared" si="4"/>
        <v>116.61774271421012</v>
      </c>
    </row>
    <row r="61" spans="1:25" ht="14.25" customHeight="1" thickBot="1" x14ac:dyDescent="0.25">
      <c r="A61" s="271"/>
      <c r="B61" s="272" t="s">
        <v>75</v>
      </c>
      <c r="C61" s="273">
        <f t="shared" ref="C61:H61" si="63">C48+C60</f>
        <v>7703432.6100000013</v>
      </c>
      <c r="D61" s="274">
        <f t="shared" si="63"/>
        <v>8035248.2000000011</v>
      </c>
      <c r="E61" s="275">
        <f t="shared" si="63"/>
        <v>9323435.5999999996</v>
      </c>
      <c r="F61" s="275">
        <f t="shared" si="63"/>
        <v>8266027.6800000006</v>
      </c>
      <c r="G61" s="275">
        <f t="shared" si="63"/>
        <v>7895667.3799999999</v>
      </c>
      <c r="H61" s="285">
        <f t="shared" si="63"/>
        <v>7679191.9799999995</v>
      </c>
      <c r="I61" s="276">
        <f>I48</f>
        <v>4212501</v>
      </c>
      <c r="J61" s="277">
        <f t="shared" ref="J61:W61" si="64">J48+J60</f>
        <v>2629124.4299999997</v>
      </c>
      <c r="K61" s="277">
        <f t="shared" si="64"/>
        <v>1060874.77</v>
      </c>
      <c r="L61" s="277">
        <f t="shared" si="64"/>
        <v>644721.8600000001</v>
      </c>
      <c r="M61" s="277">
        <f>M48+M60</f>
        <v>276308.93999999994</v>
      </c>
      <c r="N61" s="278">
        <f t="shared" si="64"/>
        <v>4612499</v>
      </c>
      <c r="O61" s="279">
        <f t="shared" si="64"/>
        <v>56125</v>
      </c>
      <c r="P61" s="279">
        <f t="shared" si="64"/>
        <v>7996550</v>
      </c>
      <c r="Q61" s="279">
        <f t="shared" si="64"/>
        <v>8100650</v>
      </c>
      <c r="R61" s="279">
        <f t="shared" si="64"/>
        <v>0</v>
      </c>
      <c r="S61" s="280">
        <f t="shared" si="64"/>
        <v>8901125</v>
      </c>
      <c r="T61" s="275">
        <f t="shared" si="64"/>
        <v>8472178.3900000006</v>
      </c>
      <c r="U61" s="281">
        <f t="shared" si="64"/>
        <v>98098.36</v>
      </c>
      <c r="V61" s="282">
        <f t="shared" si="64"/>
        <v>4212501</v>
      </c>
      <c r="W61" s="283">
        <f t="shared" si="64"/>
        <v>4161579.0300000007</v>
      </c>
      <c r="X61" s="284">
        <f t="shared" si="3"/>
        <v>95.18098431378057</v>
      </c>
      <c r="Y61" s="285">
        <f t="shared" si="4"/>
        <v>110.32643033362477</v>
      </c>
    </row>
    <row r="62" spans="1:25" ht="14.25" hidden="1" customHeight="1" x14ac:dyDescent="0.2">
      <c r="A62" s="286"/>
      <c r="B62" s="287" t="s">
        <v>76</v>
      </c>
      <c r="C62" s="288"/>
      <c r="D62" s="289"/>
      <c r="E62" s="290"/>
      <c r="F62" s="290"/>
      <c r="G62" s="289"/>
      <c r="H62" s="342">
        <f>SUM(H49:H60)</f>
        <v>713406.52</v>
      </c>
      <c r="I62" s="291">
        <f>I48+I61</f>
        <v>8425002</v>
      </c>
      <c r="J62" s="292"/>
      <c r="K62" s="292"/>
      <c r="L62" s="292"/>
      <c r="M62" s="292"/>
      <c r="N62" s="293">
        <f>I61+N61</f>
        <v>8825000</v>
      </c>
      <c r="O62" s="294"/>
      <c r="P62" s="292">
        <f>P61-100000</f>
        <v>7896550</v>
      </c>
      <c r="Q62" s="288">
        <f>Q61-100000</f>
        <v>8000650</v>
      </c>
      <c r="R62" s="288"/>
      <c r="S62" s="295">
        <f>SUM(S53:S61)</f>
        <v>9564250</v>
      </c>
      <c r="T62" s="289"/>
      <c r="U62" s="289"/>
      <c r="V62" s="289"/>
      <c r="W62" s="289"/>
      <c r="X62" s="289"/>
      <c r="Y62" s="289"/>
    </row>
    <row r="63" spans="1:25" ht="12" hidden="1" thickBot="1" x14ac:dyDescent="0.25">
      <c r="A63" s="296"/>
      <c r="B63" s="297" t="s">
        <v>77</v>
      </c>
      <c r="C63" s="83">
        <v>7963147</v>
      </c>
      <c r="D63" s="89"/>
      <c r="E63" s="290"/>
      <c r="F63" s="290"/>
      <c r="G63" s="89"/>
      <c r="H63" s="342"/>
      <c r="I63" s="298">
        <v>0</v>
      </c>
      <c r="J63" s="79"/>
      <c r="K63" s="79"/>
      <c r="L63" s="79"/>
      <c r="M63" s="79"/>
      <c r="N63" s="299">
        <v>8019425</v>
      </c>
      <c r="O63" s="299"/>
      <c r="P63" s="299">
        <v>8610725</v>
      </c>
      <c r="Q63" s="299">
        <v>7675155</v>
      </c>
      <c r="R63" s="299"/>
      <c r="S63" s="300">
        <f>S48+S62</f>
        <v>18037250</v>
      </c>
      <c r="T63" s="89"/>
      <c r="U63" s="89"/>
      <c r="V63" s="89"/>
      <c r="W63" s="89"/>
      <c r="X63" s="89"/>
      <c r="Y63" s="89"/>
    </row>
    <row r="64" spans="1:25" ht="12" hidden="1" thickBot="1" x14ac:dyDescent="0.25">
      <c r="A64" s="296"/>
      <c r="B64" s="297" t="s">
        <v>78</v>
      </c>
      <c r="C64" s="83">
        <f>C62-C63</f>
        <v>-7963147</v>
      </c>
      <c r="D64" s="89"/>
      <c r="E64" s="290"/>
      <c r="F64" s="290"/>
      <c r="G64" s="89"/>
      <c r="H64" s="342"/>
      <c r="I64" s="301">
        <f t="shared" ref="I64" si="65">I62+I63</f>
        <v>8425002</v>
      </c>
      <c r="J64" s="79"/>
      <c r="K64" s="79"/>
      <c r="L64" s="79"/>
      <c r="M64" s="79"/>
      <c r="N64" s="299">
        <f>N62-N63</f>
        <v>805575</v>
      </c>
      <c r="O64" s="299"/>
      <c r="P64" s="299">
        <f>P62-P63</f>
        <v>-714175</v>
      </c>
      <c r="Q64" s="299">
        <f>Q62-Q63</f>
        <v>325495</v>
      </c>
      <c r="R64" s="299"/>
      <c r="S64" s="89"/>
      <c r="T64" s="89"/>
      <c r="U64" s="89"/>
      <c r="V64" s="89"/>
      <c r="W64" s="89"/>
      <c r="X64" s="89"/>
      <c r="Y64" s="89"/>
    </row>
    <row r="65" spans="1:25" hidden="1" x14ac:dyDescent="0.2">
      <c r="A65" s="296"/>
      <c r="B65" s="302" t="s">
        <v>79</v>
      </c>
      <c r="C65" s="83"/>
      <c r="D65" s="89"/>
      <c r="E65" s="89"/>
      <c r="F65" s="89"/>
      <c r="G65" s="89"/>
      <c r="H65" s="343"/>
      <c r="I65" s="299"/>
      <c r="J65" s="79"/>
      <c r="K65" s="79">
        <f>K48/12</f>
        <v>81621.230833333335</v>
      </c>
      <c r="L65" s="79"/>
      <c r="M65" s="79"/>
      <c r="N65" s="299"/>
      <c r="O65" s="299"/>
      <c r="P65" s="299"/>
      <c r="Q65" s="299"/>
      <c r="R65" s="299"/>
      <c r="S65" s="89"/>
      <c r="T65" s="89"/>
      <c r="U65" s="89"/>
      <c r="V65" s="89"/>
      <c r="W65" s="89"/>
      <c r="X65" s="89"/>
      <c r="Y65" s="89"/>
    </row>
    <row r="66" spans="1:25" hidden="1" x14ac:dyDescent="0.2">
      <c r="A66" s="296"/>
      <c r="B66" s="296" t="s">
        <v>80</v>
      </c>
      <c r="C66" s="65"/>
      <c r="D66" s="71"/>
      <c r="E66" s="71"/>
      <c r="F66" s="71"/>
      <c r="G66" s="71"/>
      <c r="H66" s="344"/>
      <c r="I66" s="303">
        <f>I61*0.57</f>
        <v>2401125.5699999998</v>
      </c>
      <c r="J66" s="62"/>
      <c r="K66" s="62"/>
      <c r="L66" s="62"/>
      <c r="M66" s="62"/>
      <c r="N66" s="304">
        <f>N61*0.57</f>
        <v>2629124.4299999997</v>
      </c>
      <c r="O66" s="64"/>
      <c r="P66" s="62"/>
      <c r="Q66" s="305"/>
      <c r="R66" s="305"/>
      <c r="S66" s="71"/>
      <c r="T66" s="71"/>
      <c r="U66" s="71"/>
      <c r="V66" s="71"/>
      <c r="W66" s="71"/>
      <c r="X66" s="71"/>
      <c r="Y66" s="71"/>
    </row>
    <row r="67" spans="1:25" hidden="1" x14ac:dyDescent="0.2">
      <c r="A67" s="296"/>
      <c r="B67" s="296" t="s">
        <v>81</v>
      </c>
      <c r="C67" s="65"/>
      <c r="D67" s="71"/>
      <c r="E67" s="71"/>
      <c r="F67" s="71"/>
      <c r="G67" s="71"/>
      <c r="H67" s="344"/>
      <c r="I67" s="303">
        <f>I61*0.23</f>
        <v>968875.2300000001</v>
      </c>
      <c r="J67" s="62"/>
      <c r="K67" s="62"/>
      <c r="L67" s="62"/>
      <c r="M67" s="62"/>
      <c r="N67" s="304">
        <f>N61*0.23</f>
        <v>1060874.77</v>
      </c>
      <c r="O67" s="64"/>
      <c r="P67" s="62"/>
      <c r="Q67" s="305"/>
      <c r="R67" s="305"/>
      <c r="S67" s="71"/>
      <c r="T67" s="71"/>
      <c r="U67" s="71"/>
      <c r="V67" s="71"/>
      <c r="W67" s="71"/>
      <c r="X67" s="71"/>
      <c r="Y67" s="71"/>
    </row>
    <row r="68" spans="1:25" hidden="1" x14ac:dyDescent="0.2">
      <c r="A68" s="296"/>
      <c r="B68" s="296" t="s">
        <v>82</v>
      </c>
      <c r="C68" s="65"/>
      <c r="D68" s="71"/>
      <c r="E68" s="71"/>
      <c r="F68" s="71"/>
      <c r="G68" s="71"/>
      <c r="H68" s="344"/>
      <c r="I68" s="303">
        <f>I61*0.14</f>
        <v>589750.14</v>
      </c>
      <c r="J68" s="62"/>
      <c r="K68" s="62"/>
      <c r="L68" s="62"/>
      <c r="M68" s="62"/>
      <c r="N68" s="304">
        <f>N61*0.14</f>
        <v>645749.8600000001</v>
      </c>
      <c r="O68" s="64"/>
      <c r="P68" s="62"/>
      <c r="Q68" s="305"/>
      <c r="R68" s="305"/>
      <c r="S68" s="71"/>
      <c r="T68" s="71"/>
      <c r="U68" s="71"/>
      <c r="V68" s="71"/>
      <c r="W68" s="71"/>
      <c r="X68" s="71"/>
      <c r="Y68" s="71"/>
    </row>
    <row r="69" spans="1:25" hidden="1" x14ac:dyDescent="0.2">
      <c r="A69" s="296"/>
      <c r="B69" s="296" t="s">
        <v>83</v>
      </c>
      <c r="C69" s="65"/>
      <c r="D69" s="71"/>
      <c r="E69" s="71"/>
      <c r="F69" s="71"/>
      <c r="G69" s="71"/>
      <c r="H69" s="344"/>
      <c r="I69" s="303">
        <f>I61*0.06</f>
        <v>252750.06</v>
      </c>
      <c r="J69" s="62"/>
      <c r="K69" s="62"/>
      <c r="L69" s="62"/>
      <c r="M69" s="62"/>
      <c r="N69" s="304">
        <f>N61*0.06</f>
        <v>276749.94</v>
      </c>
      <c r="O69" s="64"/>
      <c r="P69" s="62"/>
      <c r="Q69" s="305"/>
      <c r="R69" s="305"/>
      <c r="S69" s="71"/>
      <c r="T69" s="71"/>
      <c r="U69" s="71"/>
      <c r="V69" s="71"/>
      <c r="W69" s="71"/>
      <c r="X69" s="71"/>
      <c r="Y69" s="71"/>
    </row>
    <row r="70" spans="1:25" hidden="1" x14ac:dyDescent="0.2">
      <c r="A70" s="296"/>
      <c r="B70" s="306" t="s">
        <v>84</v>
      </c>
      <c r="C70" s="83"/>
      <c r="D70" s="71"/>
      <c r="E70" s="71"/>
      <c r="F70" s="71"/>
      <c r="G70" s="71"/>
      <c r="H70" s="344"/>
      <c r="I70" s="307">
        <f>SUM(I66:I69)</f>
        <v>4212501</v>
      </c>
      <c r="J70" s="79"/>
      <c r="K70" s="79"/>
      <c r="L70" s="79"/>
      <c r="M70" s="79"/>
      <c r="N70" s="308">
        <f>SUM(N66:N69)</f>
        <v>4612499</v>
      </c>
      <c r="O70" s="64"/>
      <c r="P70" s="62"/>
      <c r="Q70" s="305"/>
      <c r="R70" s="305"/>
      <c r="S70" s="71"/>
      <c r="T70" s="71"/>
      <c r="U70" s="71"/>
      <c r="V70" s="71"/>
      <c r="W70" s="71"/>
      <c r="X70" s="71"/>
      <c r="Y70" s="71"/>
    </row>
    <row r="71" spans="1:25" hidden="1" x14ac:dyDescent="0.2">
      <c r="A71" s="296"/>
      <c r="B71" s="296" t="s">
        <v>85</v>
      </c>
      <c r="C71" s="65"/>
      <c r="D71" s="71"/>
      <c r="E71" s="71"/>
      <c r="F71" s="71"/>
      <c r="G71" s="71"/>
      <c r="H71" s="344"/>
      <c r="I71" s="303">
        <f>I70-I66</f>
        <v>1811375.4300000002</v>
      </c>
      <c r="J71" s="62"/>
      <c r="K71" s="62"/>
      <c r="L71" s="62"/>
      <c r="M71" s="62"/>
      <c r="N71" s="304">
        <f>N70-N66</f>
        <v>1983374.5700000003</v>
      </c>
      <c r="O71" s="64"/>
      <c r="P71" s="62"/>
      <c r="Q71" s="305"/>
      <c r="R71" s="305"/>
      <c r="S71" s="71"/>
      <c r="T71" s="71"/>
      <c r="U71" s="71"/>
      <c r="V71" s="71"/>
      <c r="W71" s="71"/>
      <c r="X71" s="71"/>
      <c r="Y71" s="71"/>
    </row>
    <row r="72" spans="1:25" hidden="1" x14ac:dyDescent="0.2">
      <c r="A72" s="296"/>
      <c r="B72" s="296"/>
      <c r="C72" s="65"/>
      <c r="D72" s="71"/>
      <c r="E72" s="71"/>
      <c r="F72" s="71"/>
      <c r="G72" s="71"/>
      <c r="H72" s="344"/>
      <c r="I72" s="303"/>
      <c r="J72" s="62"/>
      <c r="K72" s="62"/>
      <c r="L72" s="62"/>
      <c r="M72" s="62"/>
      <c r="N72" s="304"/>
      <c r="O72" s="64"/>
      <c r="P72" s="62"/>
      <c r="Q72" s="305"/>
      <c r="R72" s="305"/>
      <c r="S72" s="309" t="s">
        <v>86</v>
      </c>
      <c r="T72" s="71"/>
      <c r="U72" s="71"/>
      <c r="V72" s="71"/>
      <c r="W72" s="71"/>
      <c r="X72" s="71"/>
      <c r="Y72" s="71"/>
    </row>
    <row r="73" spans="1:25" ht="46.5" hidden="1" customHeight="1" x14ac:dyDescent="0.2">
      <c r="A73" s="310"/>
      <c r="B73" s="311" t="s">
        <v>6</v>
      </c>
      <c r="C73" s="312" t="s">
        <v>87</v>
      </c>
      <c r="D73" s="313"/>
      <c r="E73" s="313"/>
      <c r="F73" s="313"/>
      <c r="G73" s="313"/>
      <c r="H73" s="345"/>
      <c r="I73" s="313" t="s">
        <v>88</v>
      </c>
      <c r="J73" s="314" t="s">
        <v>89</v>
      </c>
      <c r="K73" s="314" t="s">
        <v>84</v>
      </c>
      <c r="L73" s="314" t="s">
        <v>90</v>
      </c>
      <c r="M73" s="314" t="s">
        <v>78</v>
      </c>
      <c r="N73" s="315"/>
      <c r="O73" s="316"/>
      <c r="P73" s="314"/>
      <c r="Q73" s="314"/>
      <c r="R73" s="314"/>
      <c r="S73" s="317" t="s">
        <v>91</v>
      </c>
      <c r="T73" s="313"/>
      <c r="U73" s="313"/>
      <c r="V73" s="313"/>
      <c r="W73" s="313"/>
      <c r="X73" s="313"/>
      <c r="Y73" s="313"/>
    </row>
    <row r="74" spans="1:25" ht="15" hidden="1" x14ac:dyDescent="0.2">
      <c r="A74" s="318">
        <v>1</v>
      </c>
      <c r="B74" s="311">
        <v>2</v>
      </c>
      <c r="C74" s="319" t="s">
        <v>92</v>
      </c>
      <c r="D74" s="320"/>
      <c r="E74" s="320"/>
      <c r="F74" s="320"/>
      <c r="G74" s="320"/>
      <c r="H74" s="346"/>
      <c r="I74" s="320"/>
      <c r="J74" s="46" t="s">
        <v>93</v>
      </c>
      <c r="K74" s="46" t="s">
        <v>94</v>
      </c>
      <c r="L74" s="46" t="s">
        <v>95</v>
      </c>
      <c r="M74" s="46" t="s">
        <v>96</v>
      </c>
      <c r="N74" s="321"/>
      <c r="O74" s="48"/>
      <c r="P74" s="46"/>
      <c r="Q74" s="49"/>
      <c r="R74" s="49"/>
      <c r="S74" s="317" t="s">
        <v>97</v>
      </c>
      <c r="T74" s="320"/>
      <c r="U74" s="320"/>
      <c r="V74" s="320"/>
      <c r="W74" s="320"/>
      <c r="X74" s="320"/>
      <c r="Y74" s="320"/>
    </row>
    <row r="75" spans="1:25" ht="12.2" hidden="1" customHeight="1" x14ac:dyDescent="0.2">
      <c r="A75" s="322">
        <v>3111</v>
      </c>
      <c r="B75" s="323" t="s">
        <v>25</v>
      </c>
      <c r="C75" s="324">
        <v>4787693.96</v>
      </c>
      <c r="D75" s="71"/>
      <c r="E75" s="71"/>
      <c r="F75" s="71"/>
      <c r="G75" s="71"/>
      <c r="H75" s="344"/>
      <c r="I75" s="71">
        <v>3657295.3</v>
      </c>
      <c r="J75" s="62">
        <v>420000</v>
      </c>
      <c r="K75" s="62">
        <f>J75*3</f>
        <v>1260000</v>
      </c>
      <c r="L75" s="62">
        <f>I75+K75</f>
        <v>4917295.3</v>
      </c>
      <c r="M75" s="62" t="e">
        <f>L75-#REF!</f>
        <v>#REF!</v>
      </c>
      <c r="N75" s="304"/>
      <c r="O75" s="62"/>
      <c r="P75" s="62"/>
      <c r="Q75" s="65"/>
      <c r="R75" s="65"/>
      <c r="S75" s="317" t="s">
        <v>98</v>
      </c>
      <c r="T75" s="71"/>
      <c r="U75" s="71"/>
      <c r="V75" s="71"/>
      <c r="W75" s="71"/>
      <c r="X75" s="71"/>
      <c r="Y75" s="71"/>
    </row>
    <row r="76" spans="1:25" ht="12.2" hidden="1" customHeight="1" x14ac:dyDescent="0.2">
      <c r="A76" s="325">
        <v>311</v>
      </c>
      <c r="B76" s="326" t="s">
        <v>26</v>
      </c>
      <c r="C76" s="327">
        <f t="shared" ref="C76" si="66">C75</f>
        <v>4787693.96</v>
      </c>
      <c r="D76" s="89"/>
      <c r="E76" s="89"/>
      <c r="F76" s="89"/>
      <c r="G76" s="89"/>
      <c r="H76" s="343"/>
      <c r="I76" s="89">
        <f>I75</f>
        <v>3657295.3</v>
      </c>
      <c r="J76" s="79">
        <f t="shared" ref="J76:M76" si="67">J75</f>
        <v>420000</v>
      </c>
      <c r="K76" s="79">
        <f t="shared" si="67"/>
        <v>1260000</v>
      </c>
      <c r="L76" s="79">
        <f t="shared" si="67"/>
        <v>4917295.3</v>
      </c>
      <c r="M76" s="79" t="e">
        <f t="shared" si="67"/>
        <v>#REF!</v>
      </c>
      <c r="N76" s="308"/>
      <c r="O76" s="82"/>
      <c r="P76" s="82"/>
      <c r="Q76" s="83"/>
      <c r="R76" s="83"/>
      <c r="S76" s="317" t="s">
        <v>99</v>
      </c>
      <c r="T76" s="89"/>
      <c r="U76" s="89"/>
      <c r="V76" s="89"/>
      <c r="W76" s="89"/>
      <c r="X76" s="89"/>
      <c r="Y76" s="89"/>
    </row>
    <row r="77" spans="1:25" ht="12.2" hidden="1" customHeight="1" x14ac:dyDescent="0.2">
      <c r="A77" s="322">
        <v>3131</v>
      </c>
      <c r="B77" s="323" t="s">
        <v>27</v>
      </c>
      <c r="C77" s="324">
        <v>373935.75</v>
      </c>
      <c r="D77" s="71"/>
      <c r="E77" s="71"/>
      <c r="F77" s="71"/>
      <c r="G77" s="71"/>
      <c r="H77" s="344"/>
      <c r="I77" s="71">
        <v>285534.3</v>
      </c>
      <c r="J77" s="62">
        <f>J75*7.84/100</f>
        <v>32928</v>
      </c>
      <c r="K77" s="62">
        <f>J77*3</f>
        <v>98784</v>
      </c>
      <c r="L77" s="62">
        <f>I77+K77</f>
        <v>384318.3</v>
      </c>
      <c r="M77" s="62" t="e">
        <f>L77-#REF!</f>
        <v>#REF!</v>
      </c>
      <c r="N77" s="304"/>
      <c r="O77" s="62"/>
      <c r="P77" s="62"/>
      <c r="Q77" s="65"/>
      <c r="R77" s="65"/>
      <c r="S77" s="317" t="s">
        <v>100</v>
      </c>
      <c r="T77" s="71"/>
      <c r="U77" s="71"/>
      <c r="V77" s="71"/>
      <c r="W77" s="71"/>
      <c r="X77" s="71"/>
      <c r="Y77" s="71"/>
    </row>
    <row r="78" spans="1:25" ht="12.2" hidden="1" customHeight="1" x14ac:dyDescent="0.2">
      <c r="A78" s="322">
        <v>3132</v>
      </c>
      <c r="B78" s="328" t="s">
        <v>28</v>
      </c>
      <c r="C78" s="324">
        <v>742445</v>
      </c>
      <c r="D78" s="71"/>
      <c r="E78" s="71"/>
      <c r="F78" s="71"/>
      <c r="G78" s="71"/>
      <c r="H78" s="344"/>
      <c r="I78" s="71">
        <v>548594.37</v>
      </c>
      <c r="J78" s="62">
        <f>J75*15.5/100</f>
        <v>65100</v>
      </c>
      <c r="K78" s="62">
        <f>J78*3</f>
        <v>195300</v>
      </c>
      <c r="L78" s="62">
        <f>I78+K78</f>
        <v>743894.37</v>
      </c>
      <c r="M78" s="62" t="e">
        <f>L78-#REF!</f>
        <v>#REF!</v>
      </c>
      <c r="N78" s="304"/>
      <c r="O78" s="62"/>
      <c r="P78" s="62"/>
      <c r="Q78" s="65"/>
      <c r="R78" s="65"/>
      <c r="S78" s="317" t="s">
        <v>101</v>
      </c>
      <c r="T78" s="71"/>
      <c r="U78" s="71"/>
      <c r="V78" s="71"/>
      <c r="W78" s="71"/>
      <c r="X78" s="71"/>
      <c r="Y78" s="71"/>
    </row>
    <row r="79" spans="1:25" ht="12.2" hidden="1" customHeight="1" x14ac:dyDescent="0.2">
      <c r="A79" s="322">
        <v>3133</v>
      </c>
      <c r="B79" s="323" t="s">
        <v>29</v>
      </c>
      <c r="C79" s="324">
        <v>81830.100000000006</v>
      </c>
      <c r="D79" s="71"/>
      <c r="E79" s="71"/>
      <c r="F79" s="71"/>
      <c r="G79" s="71"/>
      <c r="H79" s="344"/>
      <c r="I79" s="71">
        <v>62174</v>
      </c>
      <c r="J79" s="62">
        <f>J75*1.7/100</f>
        <v>7140</v>
      </c>
      <c r="K79" s="62">
        <f>J79*3</f>
        <v>21420</v>
      </c>
      <c r="L79" s="62">
        <f>I79+K79</f>
        <v>83594</v>
      </c>
      <c r="M79" s="62" t="e">
        <f>L79-#REF!</f>
        <v>#REF!</v>
      </c>
      <c r="N79" s="304"/>
      <c r="O79" s="62"/>
      <c r="P79" s="62"/>
      <c r="Q79" s="65"/>
      <c r="R79" s="65"/>
      <c r="S79" s="317" t="s">
        <v>102</v>
      </c>
      <c r="T79" s="71"/>
      <c r="U79" s="71"/>
      <c r="V79" s="71"/>
      <c r="W79" s="71"/>
      <c r="X79" s="71"/>
      <c r="Y79" s="71"/>
    </row>
    <row r="80" spans="1:25" ht="12.2" hidden="1" customHeight="1" x14ac:dyDescent="0.2">
      <c r="A80" s="325">
        <v>313</v>
      </c>
      <c r="B80" s="326" t="s">
        <v>30</v>
      </c>
      <c r="C80" s="327">
        <f t="shared" ref="C80" si="68">SUM(C77:C79)</f>
        <v>1198210.8500000001</v>
      </c>
      <c r="D80" s="89"/>
      <c r="E80" s="89"/>
      <c r="F80" s="89"/>
      <c r="G80" s="89"/>
      <c r="H80" s="343"/>
      <c r="I80" s="89">
        <f>SUM(I77:I79)</f>
        <v>896302.66999999993</v>
      </c>
      <c r="J80" s="79">
        <f t="shared" ref="J80:M80" si="69">SUM(J77:J79)</f>
        <v>105168</v>
      </c>
      <c r="K80" s="79">
        <f t="shared" si="69"/>
        <v>315504</v>
      </c>
      <c r="L80" s="79">
        <f t="shared" si="69"/>
        <v>1211806.67</v>
      </c>
      <c r="M80" s="79" t="e">
        <f t="shared" si="69"/>
        <v>#REF!</v>
      </c>
      <c r="N80" s="308"/>
      <c r="O80" s="81"/>
      <c r="P80" s="82"/>
      <c r="Q80" s="83"/>
      <c r="R80" s="83"/>
      <c r="S80" s="317" t="s">
        <v>103</v>
      </c>
      <c r="T80" s="89"/>
      <c r="U80" s="89"/>
      <c r="V80" s="89"/>
      <c r="W80" s="89"/>
      <c r="X80" s="89"/>
      <c r="Y80" s="89"/>
    </row>
    <row r="81" spans="1:25" ht="12.2" hidden="1" customHeight="1" x14ac:dyDescent="0.2">
      <c r="A81" s="322">
        <v>3121</v>
      </c>
      <c r="B81" s="328" t="s">
        <v>31</v>
      </c>
      <c r="C81" s="324">
        <v>296393.5</v>
      </c>
      <c r="D81" s="71"/>
      <c r="E81" s="71"/>
      <c r="F81" s="71"/>
      <c r="G81" s="71"/>
      <c r="H81" s="344"/>
      <c r="I81" s="71">
        <v>204493.61</v>
      </c>
      <c r="J81" s="62">
        <v>0</v>
      </c>
      <c r="K81" s="62">
        <v>175506</v>
      </c>
      <c r="L81" s="62">
        <f>I81+K81</f>
        <v>379999.61</v>
      </c>
      <c r="M81" s="62" t="e">
        <f>L81-#REF!</f>
        <v>#REF!</v>
      </c>
      <c r="N81" s="304"/>
      <c r="O81" s="64"/>
      <c r="P81" s="329"/>
      <c r="Q81" s="330"/>
      <c r="R81" s="330"/>
      <c r="S81" s="71"/>
      <c r="T81" s="71"/>
      <c r="U81" s="71"/>
      <c r="V81" s="71"/>
      <c r="W81" s="71"/>
      <c r="X81" s="71"/>
      <c r="Y81" s="71"/>
    </row>
    <row r="82" spans="1:25" ht="12.2" hidden="1" customHeight="1" x14ac:dyDescent="0.2">
      <c r="A82" s="325">
        <v>312</v>
      </c>
      <c r="B82" s="326" t="s">
        <v>32</v>
      </c>
      <c r="C82" s="327">
        <f t="shared" ref="C82" si="70">C81</f>
        <v>296393.5</v>
      </c>
      <c r="D82" s="89"/>
      <c r="E82" s="89"/>
      <c r="F82" s="89"/>
      <c r="G82" s="89"/>
      <c r="H82" s="343"/>
      <c r="I82" s="89">
        <f t="shared" ref="I82:M82" si="71">I81</f>
        <v>204493.61</v>
      </c>
      <c r="J82" s="79">
        <f t="shared" si="71"/>
        <v>0</v>
      </c>
      <c r="K82" s="79">
        <f t="shared" si="71"/>
        <v>175506</v>
      </c>
      <c r="L82" s="79">
        <f t="shared" si="71"/>
        <v>379999.61</v>
      </c>
      <c r="M82" s="79" t="e">
        <f t="shared" si="71"/>
        <v>#REF!</v>
      </c>
      <c r="N82" s="308"/>
      <c r="O82" s="81"/>
      <c r="P82" s="82"/>
      <c r="Q82" s="83"/>
      <c r="R82" s="83"/>
      <c r="S82" s="89"/>
      <c r="T82" s="89"/>
      <c r="U82" s="89"/>
      <c r="V82" s="89"/>
      <c r="W82" s="89"/>
      <c r="X82" s="89"/>
      <c r="Y82" s="89"/>
    </row>
    <row r="83" spans="1:25" hidden="1" x14ac:dyDescent="0.2">
      <c r="A83" s="331">
        <v>31</v>
      </c>
      <c r="B83" s="331" t="s">
        <v>33</v>
      </c>
      <c r="C83" s="327">
        <f>C76+C80+C82</f>
        <v>6282298.3100000005</v>
      </c>
      <c r="D83" s="89"/>
      <c r="E83" s="89"/>
      <c r="F83" s="89"/>
      <c r="G83" s="89"/>
      <c r="H83" s="343"/>
      <c r="I83" s="89">
        <f>I75+I77+I78+I79+I81</f>
        <v>4758091.58</v>
      </c>
      <c r="J83" s="79">
        <f>J75+J77+J78+J79+J81</f>
        <v>525168</v>
      </c>
      <c r="K83" s="79">
        <f>K75+K77+K78+K79+K81</f>
        <v>1751010</v>
      </c>
      <c r="L83" s="79">
        <f>L75+L77+L78+L79+L81</f>
        <v>6509101.5800000001</v>
      </c>
      <c r="M83" s="79" t="e">
        <f>M75+M77+M78+M79+M81</f>
        <v>#REF!</v>
      </c>
      <c r="N83" s="308"/>
      <c r="O83" s="81"/>
      <c r="P83" s="82"/>
      <c r="Q83" s="83"/>
      <c r="R83" s="83"/>
      <c r="S83" s="89"/>
      <c r="T83" s="89"/>
      <c r="U83" s="89"/>
      <c r="V83" s="89"/>
      <c r="W83" s="89"/>
      <c r="X83" s="89"/>
      <c r="Y83" s="89"/>
    </row>
    <row r="84" spans="1:25" ht="12.2" hidden="1" customHeight="1" x14ac:dyDescent="0.2">
      <c r="A84" s="322">
        <v>3212</v>
      </c>
      <c r="B84" s="328" t="s">
        <v>35</v>
      </c>
      <c r="C84" s="324">
        <v>133970.44</v>
      </c>
      <c r="D84" s="71"/>
      <c r="E84" s="71"/>
      <c r="F84" s="71"/>
      <c r="G84" s="71"/>
      <c r="H84" s="344"/>
      <c r="I84" s="71">
        <v>101680.66</v>
      </c>
      <c r="J84" s="62">
        <v>12400</v>
      </c>
      <c r="K84" s="62">
        <f>J84*3</f>
        <v>37200</v>
      </c>
      <c r="L84" s="62">
        <f>I84+K84</f>
        <v>138880.66</v>
      </c>
      <c r="M84" s="62" t="e">
        <f>L84-#REF!</f>
        <v>#REF!</v>
      </c>
      <c r="N84" s="304"/>
      <c r="O84" s="64"/>
      <c r="P84" s="62"/>
      <c r="Q84" s="62"/>
      <c r="R84" s="62"/>
      <c r="S84" s="71"/>
      <c r="T84" s="71"/>
      <c r="U84" s="71"/>
      <c r="V84" s="71"/>
      <c r="W84" s="71"/>
      <c r="X84" s="71"/>
      <c r="Y84" s="71"/>
    </row>
    <row r="85" spans="1:25" hidden="1" x14ac:dyDescent="0.2">
      <c r="A85" s="296"/>
      <c r="B85" s="296"/>
      <c r="C85" s="65"/>
      <c r="D85" s="71"/>
      <c r="E85" s="71"/>
      <c r="F85" s="71"/>
      <c r="G85" s="71"/>
      <c r="H85" s="344"/>
      <c r="I85" s="303"/>
      <c r="J85" s="62"/>
      <c r="K85" s="62"/>
      <c r="L85" s="62"/>
      <c r="M85" s="62" t="e">
        <f>M83+M84</f>
        <v>#REF!</v>
      </c>
      <c r="N85" s="304"/>
      <c r="O85" s="64"/>
      <c r="P85" s="62"/>
      <c r="Q85" s="305"/>
      <c r="R85" s="305"/>
      <c r="S85" s="71"/>
      <c r="T85" s="71"/>
      <c r="U85" s="71"/>
      <c r="V85" s="71"/>
      <c r="W85" s="71"/>
      <c r="X85" s="71"/>
      <c r="Y85" s="71"/>
    </row>
    <row r="86" spans="1:25" ht="22.5" hidden="1" x14ac:dyDescent="0.2">
      <c r="A86" s="310"/>
      <c r="B86" s="311" t="s">
        <v>6</v>
      </c>
      <c r="C86" s="312" t="s">
        <v>87</v>
      </c>
      <c r="D86" s="71"/>
      <c r="E86" s="71"/>
      <c r="F86" s="71"/>
      <c r="G86" s="71"/>
      <c r="H86" s="344"/>
      <c r="I86" s="313" t="s">
        <v>88</v>
      </c>
      <c r="J86" s="314" t="s">
        <v>89</v>
      </c>
      <c r="K86" s="314" t="s">
        <v>84</v>
      </c>
      <c r="L86" s="314" t="s">
        <v>90</v>
      </c>
      <c r="M86" s="314" t="s">
        <v>78</v>
      </c>
      <c r="N86" s="304"/>
      <c r="O86" s="64"/>
      <c r="P86" s="62"/>
      <c r="Q86" s="305"/>
      <c r="R86" s="305"/>
      <c r="S86" s="71"/>
      <c r="T86" s="71"/>
      <c r="U86" s="71"/>
      <c r="V86" s="71"/>
      <c r="W86" s="71"/>
      <c r="X86" s="71"/>
      <c r="Y86" s="71"/>
    </row>
    <row r="87" spans="1:25" hidden="1" x14ac:dyDescent="0.2">
      <c r="A87" s="318">
        <v>1</v>
      </c>
      <c r="B87" s="311">
        <v>2</v>
      </c>
      <c r="C87" s="319" t="s">
        <v>92</v>
      </c>
      <c r="D87" s="71"/>
      <c r="E87" s="71"/>
      <c r="F87" s="71"/>
      <c r="G87" s="71"/>
      <c r="H87" s="344"/>
      <c r="I87" s="320"/>
      <c r="J87" s="46" t="s">
        <v>93</v>
      </c>
      <c r="K87" s="46" t="s">
        <v>94</v>
      </c>
      <c r="L87" s="46" t="s">
        <v>95</v>
      </c>
      <c r="M87" s="46" t="s">
        <v>96</v>
      </c>
      <c r="N87" s="304"/>
      <c r="O87" s="64"/>
      <c r="P87" s="62"/>
      <c r="Q87" s="305"/>
      <c r="R87" s="305"/>
      <c r="S87" s="71"/>
      <c r="T87" s="71"/>
      <c r="U87" s="71"/>
      <c r="V87" s="71"/>
      <c r="W87" s="71"/>
      <c r="X87" s="71"/>
      <c r="Y87" s="71"/>
    </row>
    <row r="88" spans="1:25" hidden="1" x14ac:dyDescent="0.2">
      <c r="A88" s="322">
        <v>3111</v>
      </c>
      <c r="B88" s="323" t="s">
        <v>25</v>
      </c>
      <c r="C88" s="324">
        <v>4787693.96</v>
      </c>
      <c r="D88" s="71"/>
      <c r="E88" s="71"/>
      <c r="F88" s="71"/>
      <c r="G88" s="71"/>
      <c r="H88" s="344"/>
      <c r="I88" s="71">
        <v>3657295.3</v>
      </c>
      <c r="J88" s="62">
        <v>429300</v>
      </c>
      <c r="K88" s="62">
        <f>J88*3</f>
        <v>1287900</v>
      </c>
      <c r="L88" s="62">
        <f>I88+K88</f>
        <v>4945195.3</v>
      </c>
      <c r="M88" s="62" t="e">
        <f>L88-#REF!</f>
        <v>#REF!</v>
      </c>
      <c r="N88" s="304"/>
      <c r="O88" s="64"/>
      <c r="P88" s="62"/>
      <c r="Q88" s="305"/>
      <c r="R88" s="305"/>
      <c r="S88" s="71"/>
      <c r="T88" s="71"/>
      <c r="U88" s="71"/>
      <c r="V88" s="71"/>
      <c r="W88" s="71"/>
      <c r="X88" s="71"/>
      <c r="Y88" s="71"/>
    </row>
    <row r="89" spans="1:25" hidden="1" x14ac:dyDescent="0.2">
      <c r="A89" s="325">
        <v>311</v>
      </c>
      <c r="B89" s="326" t="s">
        <v>26</v>
      </c>
      <c r="C89" s="327">
        <f t="shared" ref="C89" si="72">C88</f>
        <v>4787693.96</v>
      </c>
      <c r="D89" s="71"/>
      <c r="E89" s="71"/>
      <c r="F89" s="71"/>
      <c r="G89" s="71"/>
      <c r="H89" s="344"/>
      <c r="I89" s="89">
        <f t="shared" ref="I89:M89" si="73">I88</f>
        <v>3657295.3</v>
      </c>
      <c r="J89" s="79">
        <f t="shared" si="73"/>
        <v>429300</v>
      </c>
      <c r="K89" s="79">
        <f t="shared" si="73"/>
        <v>1287900</v>
      </c>
      <c r="L89" s="79">
        <f t="shared" si="73"/>
        <v>4945195.3</v>
      </c>
      <c r="M89" s="79" t="e">
        <f t="shared" si="73"/>
        <v>#REF!</v>
      </c>
      <c r="N89" s="304"/>
      <c r="O89" s="64"/>
      <c r="P89" s="62"/>
      <c r="Q89" s="305"/>
      <c r="R89" s="305"/>
      <c r="S89" s="71"/>
      <c r="T89" s="71"/>
      <c r="U89" s="71"/>
      <c r="V89" s="71"/>
      <c r="W89" s="71"/>
      <c r="X89" s="71"/>
      <c r="Y89" s="71"/>
    </row>
    <row r="90" spans="1:25" hidden="1" x14ac:dyDescent="0.2">
      <c r="A90" s="322">
        <v>3131</v>
      </c>
      <c r="B90" s="323" t="s">
        <v>27</v>
      </c>
      <c r="C90" s="324">
        <v>373935.75</v>
      </c>
      <c r="D90" s="71"/>
      <c r="E90" s="71"/>
      <c r="F90" s="71"/>
      <c r="G90" s="71"/>
      <c r="H90" s="344"/>
      <c r="I90" s="71">
        <v>285534.3</v>
      </c>
      <c r="J90" s="62">
        <f>J88*7.84/100</f>
        <v>33657.120000000003</v>
      </c>
      <c r="K90" s="62">
        <f>J90*3</f>
        <v>100971.36000000002</v>
      </c>
      <c r="L90" s="62">
        <f>I90+K90</f>
        <v>386505.66000000003</v>
      </c>
      <c r="M90" s="62" t="e">
        <f>L90-#REF!</f>
        <v>#REF!</v>
      </c>
      <c r="N90" s="304"/>
      <c r="O90" s="64"/>
      <c r="P90" s="62"/>
      <c r="Q90" s="305"/>
      <c r="R90" s="305"/>
      <c r="S90" s="71"/>
      <c r="T90" s="71"/>
      <c r="U90" s="71"/>
      <c r="V90" s="71"/>
      <c r="W90" s="71"/>
      <c r="X90" s="71"/>
      <c r="Y90" s="71"/>
    </row>
    <row r="91" spans="1:25" hidden="1" x14ac:dyDescent="0.2">
      <c r="A91" s="322">
        <v>3132</v>
      </c>
      <c r="B91" s="328" t="s">
        <v>28</v>
      </c>
      <c r="C91" s="324">
        <v>742445</v>
      </c>
      <c r="D91" s="71"/>
      <c r="E91" s="71"/>
      <c r="F91" s="71"/>
      <c r="G91" s="71"/>
      <c r="H91" s="344"/>
      <c r="I91" s="71">
        <v>548594.37</v>
      </c>
      <c r="J91" s="62">
        <f>J88*15.5/100</f>
        <v>66541.5</v>
      </c>
      <c r="K91" s="62">
        <f>J91*3</f>
        <v>199624.5</v>
      </c>
      <c r="L91" s="62">
        <f>I91+K91</f>
        <v>748218.87</v>
      </c>
      <c r="M91" s="62" t="e">
        <f>L91-#REF!</f>
        <v>#REF!</v>
      </c>
      <c r="N91" s="304"/>
      <c r="O91" s="64"/>
      <c r="P91" s="62"/>
      <c r="Q91" s="305"/>
      <c r="R91" s="305"/>
      <c r="S91" s="71"/>
      <c r="T91" s="71"/>
      <c r="U91" s="71"/>
      <c r="V91" s="71"/>
      <c r="W91" s="71"/>
      <c r="X91" s="71"/>
      <c r="Y91" s="71"/>
    </row>
    <row r="92" spans="1:25" hidden="1" x14ac:dyDescent="0.2">
      <c r="A92" s="322">
        <v>3133</v>
      </c>
      <c r="B92" s="323" t="s">
        <v>29</v>
      </c>
      <c r="C92" s="324">
        <v>81830.100000000006</v>
      </c>
      <c r="D92" s="71"/>
      <c r="E92" s="71"/>
      <c r="F92" s="71"/>
      <c r="G92" s="71"/>
      <c r="H92" s="344"/>
      <c r="I92" s="71">
        <v>62174</v>
      </c>
      <c r="J92" s="62">
        <f>J88*1.7/100</f>
        <v>7298.1</v>
      </c>
      <c r="K92" s="62">
        <f>J92*3</f>
        <v>21894.300000000003</v>
      </c>
      <c r="L92" s="62">
        <f>I92+K92</f>
        <v>84068.3</v>
      </c>
      <c r="M92" s="62" t="e">
        <f>L92-#REF!</f>
        <v>#REF!</v>
      </c>
      <c r="N92" s="304"/>
      <c r="O92" s="64"/>
      <c r="P92" s="62"/>
      <c r="Q92" s="305"/>
      <c r="R92" s="305"/>
      <c r="S92" s="71"/>
      <c r="T92" s="71"/>
      <c r="U92" s="71"/>
      <c r="V92" s="71"/>
      <c r="W92" s="71"/>
      <c r="X92" s="71"/>
      <c r="Y92" s="71"/>
    </row>
    <row r="93" spans="1:25" hidden="1" x14ac:dyDescent="0.2">
      <c r="A93" s="325">
        <v>313</v>
      </c>
      <c r="B93" s="326" t="s">
        <v>30</v>
      </c>
      <c r="C93" s="327">
        <f t="shared" ref="C93" si="74">SUM(C90:C92)</f>
        <v>1198210.8500000001</v>
      </c>
      <c r="D93" s="71"/>
      <c r="E93" s="71"/>
      <c r="F93" s="71"/>
      <c r="G93" s="71"/>
      <c r="H93" s="344"/>
      <c r="I93" s="89">
        <f t="shared" ref="I93:M93" si="75">SUM(I90:I92)</f>
        <v>896302.66999999993</v>
      </c>
      <c r="J93" s="79">
        <f t="shared" si="75"/>
        <v>107496.72</v>
      </c>
      <c r="K93" s="79">
        <f t="shared" si="75"/>
        <v>322490.15999999997</v>
      </c>
      <c r="L93" s="79">
        <f t="shared" si="75"/>
        <v>1218792.83</v>
      </c>
      <c r="M93" s="79" t="e">
        <f t="shared" si="75"/>
        <v>#REF!</v>
      </c>
      <c r="N93" s="304"/>
      <c r="O93" s="64"/>
      <c r="P93" s="62"/>
      <c r="Q93" s="305"/>
      <c r="R93" s="305"/>
      <c r="S93" s="71"/>
      <c r="T93" s="71"/>
      <c r="U93" s="71"/>
      <c r="V93" s="71"/>
      <c r="W93" s="71"/>
      <c r="X93" s="71"/>
      <c r="Y93" s="71"/>
    </row>
    <row r="94" spans="1:25" hidden="1" x14ac:dyDescent="0.2">
      <c r="A94" s="322">
        <v>3121</v>
      </c>
      <c r="B94" s="328" t="s">
        <v>31</v>
      </c>
      <c r="C94" s="324">
        <v>296393.5</v>
      </c>
      <c r="D94" s="71"/>
      <c r="E94" s="71"/>
      <c r="F94" s="71"/>
      <c r="G94" s="71"/>
      <c r="H94" s="344"/>
      <c r="I94" s="71">
        <v>204493.61</v>
      </c>
      <c r="J94" s="62">
        <v>0</v>
      </c>
      <c r="K94" s="62">
        <v>175506</v>
      </c>
      <c r="L94" s="62">
        <f>I94+K94</f>
        <v>379999.61</v>
      </c>
      <c r="M94" s="62" t="e">
        <f>L94-#REF!</f>
        <v>#REF!</v>
      </c>
      <c r="N94" s="304"/>
      <c r="O94" s="64"/>
      <c r="P94" s="62"/>
      <c r="Q94" s="305"/>
      <c r="R94" s="305"/>
      <c r="S94" s="71"/>
      <c r="T94" s="71"/>
      <c r="U94" s="71"/>
      <c r="V94" s="71"/>
      <c r="W94" s="71"/>
      <c r="X94" s="71"/>
      <c r="Y94" s="71"/>
    </row>
    <row r="95" spans="1:25" hidden="1" x14ac:dyDescent="0.2">
      <c r="A95" s="325">
        <v>312</v>
      </c>
      <c r="B95" s="326" t="s">
        <v>32</v>
      </c>
      <c r="C95" s="327">
        <f t="shared" ref="C95" si="76">C94</f>
        <v>296393.5</v>
      </c>
      <c r="D95" s="71"/>
      <c r="E95" s="71"/>
      <c r="F95" s="71"/>
      <c r="G95" s="71"/>
      <c r="H95" s="344"/>
      <c r="I95" s="89">
        <f t="shared" ref="I95:M95" si="77">I94</f>
        <v>204493.61</v>
      </c>
      <c r="J95" s="79">
        <f t="shared" si="77"/>
        <v>0</v>
      </c>
      <c r="K95" s="79">
        <f t="shared" si="77"/>
        <v>175506</v>
      </c>
      <c r="L95" s="79">
        <f t="shared" si="77"/>
        <v>379999.61</v>
      </c>
      <c r="M95" s="79" t="e">
        <f t="shared" si="77"/>
        <v>#REF!</v>
      </c>
      <c r="N95" s="304"/>
      <c r="O95" s="64"/>
      <c r="P95" s="62"/>
      <c r="Q95" s="305"/>
      <c r="R95" s="305"/>
      <c r="S95" s="71"/>
      <c r="T95" s="71"/>
      <c r="U95" s="71"/>
      <c r="V95" s="71"/>
      <c r="W95" s="71"/>
      <c r="X95" s="71"/>
      <c r="Y95" s="71"/>
    </row>
    <row r="96" spans="1:25" hidden="1" x14ac:dyDescent="0.2">
      <c r="A96" s="332">
        <v>31</v>
      </c>
      <c r="B96" s="332" t="s">
        <v>33</v>
      </c>
      <c r="C96" s="333">
        <f>C89+C93+C95</f>
        <v>6282298.3100000005</v>
      </c>
      <c r="H96" s="347"/>
      <c r="I96" s="290">
        <f>I88+I90+I91+I92+I94</f>
        <v>4758091.58</v>
      </c>
      <c r="J96" s="10">
        <f>J88+J90+J91+J92+J94</f>
        <v>536796.72</v>
      </c>
      <c r="K96" s="10">
        <f>K88+K90+K91+K92+K94</f>
        <v>1785896.1600000001</v>
      </c>
      <c r="L96" s="10">
        <f>L88+L90+L91+L92+L94</f>
        <v>6543987.7400000002</v>
      </c>
      <c r="M96" s="10" t="e">
        <f>M88+M90+M91+M92+M94</f>
        <v>#REF!</v>
      </c>
    </row>
    <row r="97" spans="1:13" hidden="1" x14ac:dyDescent="0.2">
      <c r="A97" s="334">
        <v>3212</v>
      </c>
      <c r="B97" s="335" t="s">
        <v>35</v>
      </c>
      <c r="C97" s="336">
        <v>133970.44</v>
      </c>
      <c r="H97" s="347"/>
      <c r="I97" s="3">
        <v>101680.66</v>
      </c>
      <c r="J97" s="5">
        <v>12400</v>
      </c>
      <c r="K97" s="5">
        <f>J97*3</f>
        <v>37200</v>
      </c>
      <c r="L97" s="5">
        <f>I97+K97</f>
        <v>138880.66</v>
      </c>
      <c r="M97" s="5" t="e">
        <f>L97-#REF!</f>
        <v>#REF!</v>
      </c>
    </row>
    <row r="98" spans="1:13" hidden="1" x14ac:dyDescent="0.2">
      <c r="H98" s="347"/>
    </row>
    <row r="99" spans="1:13" hidden="1" x14ac:dyDescent="0.2">
      <c r="H99" s="347"/>
    </row>
    <row r="100" spans="1:13" hidden="1" x14ac:dyDescent="0.2">
      <c r="B100" s="1">
        <v>1</v>
      </c>
    </row>
    <row r="101" spans="1:13" hidden="1" x14ac:dyDescent="0.2">
      <c r="B101" s="1">
        <v>2</v>
      </c>
    </row>
    <row r="102" spans="1:13" hidden="1" x14ac:dyDescent="0.2">
      <c r="B102" s="1">
        <v>3</v>
      </c>
    </row>
    <row r="103" spans="1:13" hidden="1" x14ac:dyDescent="0.2">
      <c r="B103" s="1">
        <v>4</v>
      </c>
    </row>
    <row r="104" spans="1:13" hidden="1" x14ac:dyDescent="0.2">
      <c r="B104" s="1">
        <v>5</v>
      </c>
    </row>
    <row r="105" spans="1:13" hidden="1" x14ac:dyDescent="0.2">
      <c r="B105" s="1">
        <v>6</v>
      </c>
    </row>
    <row r="106" spans="1:13" hidden="1" x14ac:dyDescent="0.2">
      <c r="B106" s="1">
        <v>7</v>
      </c>
    </row>
    <row r="107" spans="1:13" hidden="1" x14ac:dyDescent="0.2">
      <c r="B107" s="1">
        <v>8</v>
      </c>
    </row>
    <row r="108" spans="1:13" hidden="1" x14ac:dyDescent="0.2">
      <c r="B108" s="1">
        <v>9</v>
      </c>
    </row>
    <row r="109" spans="1:13" hidden="1" x14ac:dyDescent="0.2">
      <c r="B109" s="1">
        <f>C109/9</f>
        <v>0.66666666666666663</v>
      </c>
      <c r="C109" s="2">
        <f>B108-B102</f>
        <v>6</v>
      </c>
    </row>
    <row r="110" spans="1:13" hidden="1" x14ac:dyDescent="0.2">
      <c r="B110" s="1">
        <v>10</v>
      </c>
    </row>
    <row r="111" spans="1:13" hidden="1" x14ac:dyDescent="0.2">
      <c r="B111" s="1">
        <v>11</v>
      </c>
    </row>
    <row r="112" spans="1:13" hidden="1" x14ac:dyDescent="0.2">
      <c r="B112" s="1">
        <v>12</v>
      </c>
    </row>
    <row r="114" spans="1:25" x14ac:dyDescent="0.2">
      <c r="I114" s="5"/>
      <c r="N114" s="5"/>
      <c r="O114" s="5"/>
      <c r="Q114" s="5"/>
      <c r="R114" s="5"/>
    </row>
    <row r="115" spans="1:25" x14ac:dyDescent="0.2">
      <c r="I115" s="5"/>
      <c r="N115" s="5"/>
      <c r="O115" s="5"/>
      <c r="Q115" s="5"/>
      <c r="R115" s="5"/>
    </row>
    <row r="116" spans="1:25" s="7" customFormat="1" x14ac:dyDescent="0.2">
      <c r="A116" s="1"/>
      <c r="B116" s="337"/>
      <c r="C116" s="338"/>
      <c r="D116" s="339"/>
      <c r="E116" s="339"/>
      <c r="F116" s="339"/>
      <c r="G116" s="339"/>
      <c r="H116" s="339"/>
      <c r="I116" s="340"/>
      <c r="J116" s="3"/>
      <c r="K116" s="3"/>
      <c r="L116" s="3"/>
      <c r="M116" s="3"/>
      <c r="N116" s="341"/>
      <c r="P116" s="5"/>
      <c r="Q116" s="8"/>
      <c r="R116" s="8"/>
      <c r="S116" s="3"/>
      <c r="T116" s="3"/>
      <c r="U116" s="3"/>
      <c r="V116" s="3"/>
      <c r="W116" s="3"/>
      <c r="X116" s="3"/>
      <c r="Y116" s="3"/>
    </row>
    <row r="117" spans="1:25" s="7" customFormat="1" x14ac:dyDescent="0.2">
      <c r="A117" s="1"/>
      <c r="B117" s="1"/>
      <c r="C117" s="2"/>
      <c r="D117" s="3"/>
      <c r="E117" s="3"/>
      <c r="F117" s="3"/>
      <c r="G117" s="3"/>
      <c r="H117" s="3"/>
      <c r="I117" s="340"/>
      <c r="J117" s="3"/>
      <c r="K117" s="3"/>
      <c r="L117" s="3"/>
      <c r="M117" s="3"/>
      <c r="N117" s="341"/>
      <c r="P117" s="5"/>
      <c r="Q117" s="8"/>
      <c r="R117" s="8"/>
      <c r="S117" s="3"/>
      <c r="T117" s="3"/>
      <c r="U117" s="3"/>
      <c r="V117" s="3"/>
      <c r="W117" s="3"/>
      <c r="X117" s="3"/>
      <c r="Y117" s="3"/>
    </row>
    <row r="118" spans="1:25" s="7" customFormat="1" x14ac:dyDescent="0.2">
      <c r="A118" s="1"/>
      <c r="B118" s="1"/>
      <c r="C118" s="2"/>
      <c r="D118" s="3"/>
      <c r="E118" s="3"/>
      <c r="F118" s="3"/>
      <c r="G118" s="3"/>
      <c r="H118" s="3"/>
      <c r="I118" s="340"/>
      <c r="J118" s="3"/>
      <c r="K118" s="3"/>
      <c r="L118" s="3"/>
      <c r="M118" s="3"/>
      <c r="N118" s="341"/>
      <c r="P118" s="5"/>
      <c r="Q118" s="8"/>
      <c r="R118" s="8"/>
      <c r="S118" s="3"/>
      <c r="T118" s="3"/>
      <c r="U118" s="3"/>
      <c r="V118" s="3"/>
      <c r="W118" s="3"/>
      <c r="X118" s="3"/>
      <c r="Y118" s="3"/>
    </row>
    <row r="119" spans="1:25" s="7" customFormat="1" x14ac:dyDescent="0.2">
      <c r="A119" s="1"/>
      <c r="B119" s="1"/>
      <c r="C119" s="2"/>
      <c r="D119" s="3"/>
      <c r="E119" s="3"/>
      <c r="F119" s="3"/>
      <c r="G119" s="3"/>
      <c r="H119" s="3"/>
      <c r="I119" s="340"/>
      <c r="J119" s="3"/>
      <c r="K119" s="3"/>
      <c r="L119" s="3"/>
      <c r="M119" s="3"/>
      <c r="N119" s="341"/>
      <c r="P119" s="5"/>
      <c r="Q119" s="8"/>
      <c r="R119" s="8"/>
      <c r="S119" s="3"/>
      <c r="T119" s="3"/>
      <c r="U119" s="3"/>
      <c r="V119" s="3"/>
      <c r="W119" s="3"/>
      <c r="X119" s="3"/>
      <c r="Y119" s="3"/>
    </row>
    <row r="120" spans="1:25" s="7" customFormat="1" x14ac:dyDescent="0.2">
      <c r="A120" s="1"/>
      <c r="B120" s="1"/>
      <c r="C120" s="2"/>
      <c r="D120" s="3"/>
      <c r="E120" s="3"/>
      <c r="F120" s="3"/>
      <c r="G120" s="3"/>
      <c r="H120" s="3"/>
      <c r="I120" s="340"/>
      <c r="J120" s="3"/>
      <c r="K120" s="3"/>
      <c r="L120" s="3"/>
      <c r="M120" s="3"/>
      <c r="N120" s="341"/>
      <c r="P120" s="5"/>
      <c r="Q120" s="8"/>
      <c r="R120" s="8"/>
      <c r="S120" s="3"/>
      <c r="T120" s="3"/>
      <c r="U120" s="3"/>
      <c r="V120" s="3"/>
      <c r="W120" s="3"/>
      <c r="X120" s="3"/>
      <c r="Y120" s="3"/>
    </row>
    <row r="121" spans="1:25" s="7" customFormat="1" x14ac:dyDescent="0.2">
      <c r="A121" s="1"/>
      <c r="B121" s="1"/>
      <c r="C121" s="2"/>
      <c r="D121" s="3"/>
      <c r="E121" s="3"/>
      <c r="F121" s="3"/>
      <c r="G121" s="3"/>
      <c r="H121" s="3"/>
      <c r="I121" s="340"/>
      <c r="J121" s="3"/>
      <c r="K121" s="3"/>
      <c r="L121" s="3"/>
      <c r="M121" s="3"/>
      <c r="N121" s="341"/>
      <c r="P121" s="5"/>
      <c r="Q121" s="8"/>
      <c r="R121" s="8"/>
      <c r="S121" s="3"/>
      <c r="T121" s="3"/>
      <c r="U121" s="3"/>
      <c r="V121" s="3"/>
      <c r="W121" s="3"/>
      <c r="X121" s="3"/>
      <c r="Y121" s="3"/>
    </row>
  </sheetData>
  <mergeCells count="5">
    <mergeCell ref="N4:O4"/>
    <mergeCell ref="A5:I5"/>
    <mergeCell ref="J6:Y6"/>
    <mergeCell ref="I8:S8"/>
    <mergeCell ref="T8:Y8"/>
  </mergeCells>
  <pageMargins left="0" right="0" top="0" bottom="0" header="0" footer="0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42EF1-D814-4C17-A3A6-0220E4C86003}">
  <sheetPr>
    <tabColor rgb="FFFF0000"/>
    <pageSetUpPr fitToPage="1"/>
  </sheetPr>
  <dimension ref="A1:Y121"/>
  <sheetViews>
    <sheetView topLeftCell="A12" zoomScale="130" zoomScaleNormal="130" workbookViewId="0">
      <selection activeCell="A3" sqref="A3:Y61"/>
    </sheetView>
  </sheetViews>
  <sheetFormatPr defaultRowHeight="11.25" x14ac:dyDescent="0.2"/>
  <cols>
    <col min="1" max="1" width="5.85546875" style="1" customWidth="1"/>
    <col min="2" max="2" width="25" style="1" customWidth="1"/>
    <col min="3" max="3" width="9.85546875" style="2" hidden="1" customWidth="1"/>
    <col min="4" max="7" width="10.5703125" style="3" hidden="1" customWidth="1"/>
    <col min="8" max="8" width="10.5703125" style="3" customWidth="1"/>
    <col min="9" max="9" width="10" style="4" bestFit="1" customWidth="1"/>
    <col min="10" max="10" width="9.85546875" style="5" customWidth="1"/>
    <col min="11" max="11" width="8.140625" style="5" customWidth="1"/>
    <col min="12" max="13" width="8.42578125" style="5" customWidth="1"/>
    <col min="14" max="14" width="9" style="6" customWidth="1"/>
    <col min="15" max="15" width="9" style="7" customWidth="1"/>
    <col min="16" max="16" width="9.42578125" style="5" hidden="1" customWidth="1"/>
    <col min="17" max="18" width="9.28515625" style="8" hidden="1" customWidth="1"/>
    <col min="19" max="19" width="9.85546875" style="3" customWidth="1"/>
    <col min="20" max="21" width="10.5703125" style="3" customWidth="1"/>
    <col min="22" max="22" width="10" style="3" customWidth="1"/>
    <col min="23" max="23" width="10.5703125" style="3" customWidth="1"/>
    <col min="24" max="24" width="9.28515625" style="3" customWidth="1"/>
    <col min="25" max="25" width="8.5703125" style="3" customWidth="1"/>
    <col min="26" max="260" width="9.140625" style="1"/>
    <col min="261" max="261" width="5.85546875" style="1" customWidth="1"/>
    <col min="262" max="262" width="25" style="1" customWidth="1"/>
    <col min="263" max="263" width="10" style="1" bestFit="1" customWidth="1"/>
    <col min="264" max="264" width="9.85546875" style="1" customWidth="1"/>
    <col min="265" max="265" width="10" style="1" bestFit="1" customWidth="1"/>
    <col min="266" max="266" width="9.85546875" style="1" customWidth="1"/>
    <col min="267" max="267" width="8.140625" style="1" customWidth="1"/>
    <col min="268" max="269" width="8.42578125" style="1" customWidth="1"/>
    <col min="270" max="271" width="9" style="1" customWidth="1"/>
    <col min="272" max="274" width="0" style="1" hidden="1" customWidth="1"/>
    <col min="275" max="275" width="9.85546875" style="1" customWidth="1"/>
    <col min="276" max="277" width="10.5703125" style="1" customWidth="1"/>
    <col min="278" max="278" width="10" style="1" customWidth="1"/>
    <col min="279" max="279" width="10.5703125" style="1" customWidth="1"/>
    <col min="280" max="280" width="9.28515625" style="1" customWidth="1"/>
    <col min="281" max="281" width="8.5703125" style="1" customWidth="1"/>
    <col min="282" max="516" width="9.140625" style="1"/>
    <col min="517" max="517" width="5.85546875" style="1" customWidth="1"/>
    <col min="518" max="518" width="25" style="1" customWidth="1"/>
    <col min="519" max="519" width="10" style="1" bestFit="1" customWidth="1"/>
    <col min="520" max="520" width="9.85546875" style="1" customWidth="1"/>
    <col min="521" max="521" width="10" style="1" bestFit="1" customWidth="1"/>
    <col min="522" max="522" width="9.85546875" style="1" customWidth="1"/>
    <col min="523" max="523" width="8.140625" style="1" customWidth="1"/>
    <col min="524" max="525" width="8.42578125" style="1" customWidth="1"/>
    <col min="526" max="527" width="9" style="1" customWidth="1"/>
    <col min="528" max="530" width="0" style="1" hidden="1" customWidth="1"/>
    <col min="531" max="531" width="9.85546875" style="1" customWidth="1"/>
    <col min="532" max="533" width="10.5703125" style="1" customWidth="1"/>
    <col min="534" max="534" width="10" style="1" customWidth="1"/>
    <col min="535" max="535" width="10.5703125" style="1" customWidth="1"/>
    <col min="536" max="536" width="9.28515625" style="1" customWidth="1"/>
    <col min="537" max="537" width="8.5703125" style="1" customWidth="1"/>
    <col min="538" max="772" width="9.140625" style="1"/>
    <col min="773" max="773" width="5.85546875" style="1" customWidth="1"/>
    <col min="774" max="774" width="25" style="1" customWidth="1"/>
    <col min="775" max="775" width="10" style="1" bestFit="1" customWidth="1"/>
    <col min="776" max="776" width="9.85546875" style="1" customWidth="1"/>
    <col min="777" max="777" width="10" style="1" bestFit="1" customWidth="1"/>
    <col min="778" max="778" width="9.85546875" style="1" customWidth="1"/>
    <col min="779" max="779" width="8.140625" style="1" customWidth="1"/>
    <col min="780" max="781" width="8.42578125" style="1" customWidth="1"/>
    <col min="782" max="783" width="9" style="1" customWidth="1"/>
    <col min="784" max="786" width="0" style="1" hidden="1" customWidth="1"/>
    <col min="787" max="787" width="9.85546875" style="1" customWidth="1"/>
    <col min="788" max="789" width="10.5703125" style="1" customWidth="1"/>
    <col min="790" max="790" width="10" style="1" customWidth="1"/>
    <col min="791" max="791" width="10.5703125" style="1" customWidth="1"/>
    <col min="792" max="792" width="9.28515625" style="1" customWidth="1"/>
    <col min="793" max="793" width="8.5703125" style="1" customWidth="1"/>
    <col min="794" max="1028" width="9.140625" style="1"/>
    <col min="1029" max="1029" width="5.85546875" style="1" customWidth="1"/>
    <col min="1030" max="1030" width="25" style="1" customWidth="1"/>
    <col min="1031" max="1031" width="10" style="1" bestFit="1" customWidth="1"/>
    <col min="1032" max="1032" width="9.85546875" style="1" customWidth="1"/>
    <col min="1033" max="1033" width="10" style="1" bestFit="1" customWidth="1"/>
    <col min="1034" max="1034" width="9.85546875" style="1" customWidth="1"/>
    <col min="1035" max="1035" width="8.140625" style="1" customWidth="1"/>
    <col min="1036" max="1037" width="8.42578125" style="1" customWidth="1"/>
    <col min="1038" max="1039" width="9" style="1" customWidth="1"/>
    <col min="1040" max="1042" width="0" style="1" hidden="1" customWidth="1"/>
    <col min="1043" max="1043" width="9.85546875" style="1" customWidth="1"/>
    <col min="1044" max="1045" width="10.5703125" style="1" customWidth="1"/>
    <col min="1046" max="1046" width="10" style="1" customWidth="1"/>
    <col min="1047" max="1047" width="10.5703125" style="1" customWidth="1"/>
    <col min="1048" max="1048" width="9.28515625" style="1" customWidth="1"/>
    <col min="1049" max="1049" width="8.5703125" style="1" customWidth="1"/>
    <col min="1050" max="1284" width="9.140625" style="1"/>
    <col min="1285" max="1285" width="5.85546875" style="1" customWidth="1"/>
    <col min="1286" max="1286" width="25" style="1" customWidth="1"/>
    <col min="1287" max="1287" width="10" style="1" bestFit="1" customWidth="1"/>
    <col min="1288" max="1288" width="9.85546875" style="1" customWidth="1"/>
    <col min="1289" max="1289" width="10" style="1" bestFit="1" customWidth="1"/>
    <col min="1290" max="1290" width="9.85546875" style="1" customWidth="1"/>
    <col min="1291" max="1291" width="8.140625" style="1" customWidth="1"/>
    <col min="1292" max="1293" width="8.42578125" style="1" customWidth="1"/>
    <col min="1294" max="1295" width="9" style="1" customWidth="1"/>
    <col min="1296" max="1298" width="0" style="1" hidden="1" customWidth="1"/>
    <col min="1299" max="1299" width="9.85546875" style="1" customWidth="1"/>
    <col min="1300" max="1301" width="10.5703125" style="1" customWidth="1"/>
    <col min="1302" max="1302" width="10" style="1" customWidth="1"/>
    <col min="1303" max="1303" width="10.5703125" style="1" customWidth="1"/>
    <col min="1304" max="1304" width="9.28515625" style="1" customWidth="1"/>
    <col min="1305" max="1305" width="8.5703125" style="1" customWidth="1"/>
    <col min="1306" max="1540" width="9.140625" style="1"/>
    <col min="1541" max="1541" width="5.85546875" style="1" customWidth="1"/>
    <col min="1542" max="1542" width="25" style="1" customWidth="1"/>
    <col min="1543" max="1543" width="10" style="1" bestFit="1" customWidth="1"/>
    <col min="1544" max="1544" width="9.85546875" style="1" customWidth="1"/>
    <col min="1545" max="1545" width="10" style="1" bestFit="1" customWidth="1"/>
    <col min="1546" max="1546" width="9.85546875" style="1" customWidth="1"/>
    <col min="1547" max="1547" width="8.140625" style="1" customWidth="1"/>
    <col min="1548" max="1549" width="8.42578125" style="1" customWidth="1"/>
    <col min="1550" max="1551" width="9" style="1" customWidth="1"/>
    <col min="1552" max="1554" width="0" style="1" hidden="1" customWidth="1"/>
    <col min="1555" max="1555" width="9.85546875" style="1" customWidth="1"/>
    <col min="1556" max="1557" width="10.5703125" style="1" customWidth="1"/>
    <col min="1558" max="1558" width="10" style="1" customWidth="1"/>
    <col min="1559" max="1559" width="10.5703125" style="1" customWidth="1"/>
    <col min="1560" max="1560" width="9.28515625" style="1" customWidth="1"/>
    <col min="1561" max="1561" width="8.5703125" style="1" customWidth="1"/>
    <col min="1562" max="1796" width="9.140625" style="1"/>
    <col min="1797" max="1797" width="5.85546875" style="1" customWidth="1"/>
    <col min="1798" max="1798" width="25" style="1" customWidth="1"/>
    <col min="1799" max="1799" width="10" style="1" bestFit="1" customWidth="1"/>
    <col min="1800" max="1800" width="9.85546875" style="1" customWidth="1"/>
    <col min="1801" max="1801" width="10" style="1" bestFit="1" customWidth="1"/>
    <col min="1802" max="1802" width="9.85546875" style="1" customWidth="1"/>
    <col min="1803" max="1803" width="8.140625" style="1" customWidth="1"/>
    <col min="1804" max="1805" width="8.42578125" style="1" customWidth="1"/>
    <col min="1806" max="1807" width="9" style="1" customWidth="1"/>
    <col min="1808" max="1810" width="0" style="1" hidden="1" customWidth="1"/>
    <col min="1811" max="1811" width="9.85546875" style="1" customWidth="1"/>
    <col min="1812" max="1813" width="10.5703125" style="1" customWidth="1"/>
    <col min="1814" max="1814" width="10" style="1" customWidth="1"/>
    <col min="1815" max="1815" width="10.5703125" style="1" customWidth="1"/>
    <col min="1816" max="1816" width="9.28515625" style="1" customWidth="1"/>
    <col min="1817" max="1817" width="8.5703125" style="1" customWidth="1"/>
    <col min="1818" max="2052" width="9.140625" style="1"/>
    <col min="2053" max="2053" width="5.85546875" style="1" customWidth="1"/>
    <col min="2054" max="2054" width="25" style="1" customWidth="1"/>
    <col min="2055" max="2055" width="10" style="1" bestFit="1" customWidth="1"/>
    <col min="2056" max="2056" width="9.85546875" style="1" customWidth="1"/>
    <col min="2057" max="2057" width="10" style="1" bestFit="1" customWidth="1"/>
    <col min="2058" max="2058" width="9.85546875" style="1" customWidth="1"/>
    <col min="2059" max="2059" width="8.140625" style="1" customWidth="1"/>
    <col min="2060" max="2061" width="8.42578125" style="1" customWidth="1"/>
    <col min="2062" max="2063" width="9" style="1" customWidth="1"/>
    <col min="2064" max="2066" width="0" style="1" hidden="1" customWidth="1"/>
    <col min="2067" max="2067" width="9.85546875" style="1" customWidth="1"/>
    <col min="2068" max="2069" width="10.5703125" style="1" customWidth="1"/>
    <col min="2070" max="2070" width="10" style="1" customWidth="1"/>
    <col min="2071" max="2071" width="10.5703125" style="1" customWidth="1"/>
    <col min="2072" max="2072" width="9.28515625" style="1" customWidth="1"/>
    <col min="2073" max="2073" width="8.5703125" style="1" customWidth="1"/>
    <col min="2074" max="2308" width="9.140625" style="1"/>
    <col min="2309" max="2309" width="5.85546875" style="1" customWidth="1"/>
    <col min="2310" max="2310" width="25" style="1" customWidth="1"/>
    <col min="2311" max="2311" width="10" style="1" bestFit="1" customWidth="1"/>
    <col min="2312" max="2312" width="9.85546875" style="1" customWidth="1"/>
    <col min="2313" max="2313" width="10" style="1" bestFit="1" customWidth="1"/>
    <col min="2314" max="2314" width="9.85546875" style="1" customWidth="1"/>
    <col min="2315" max="2315" width="8.140625" style="1" customWidth="1"/>
    <col min="2316" max="2317" width="8.42578125" style="1" customWidth="1"/>
    <col min="2318" max="2319" width="9" style="1" customWidth="1"/>
    <col min="2320" max="2322" width="0" style="1" hidden="1" customWidth="1"/>
    <col min="2323" max="2323" width="9.85546875" style="1" customWidth="1"/>
    <col min="2324" max="2325" width="10.5703125" style="1" customWidth="1"/>
    <col min="2326" max="2326" width="10" style="1" customWidth="1"/>
    <col min="2327" max="2327" width="10.5703125" style="1" customWidth="1"/>
    <col min="2328" max="2328" width="9.28515625" style="1" customWidth="1"/>
    <col min="2329" max="2329" width="8.5703125" style="1" customWidth="1"/>
    <col min="2330" max="2564" width="9.140625" style="1"/>
    <col min="2565" max="2565" width="5.85546875" style="1" customWidth="1"/>
    <col min="2566" max="2566" width="25" style="1" customWidth="1"/>
    <col min="2567" max="2567" width="10" style="1" bestFit="1" customWidth="1"/>
    <col min="2568" max="2568" width="9.85546875" style="1" customWidth="1"/>
    <col min="2569" max="2569" width="10" style="1" bestFit="1" customWidth="1"/>
    <col min="2570" max="2570" width="9.85546875" style="1" customWidth="1"/>
    <col min="2571" max="2571" width="8.140625" style="1" customWidth="1"/>
    <col min="2572" max="2573" width="8.42578125" style="1" customWidth="1"/>
    <col min="2574" max="2575" width="9" style="1" customWidth="1"/>
    <col min="2576" max="2578" width="0" style="1" hidden="1" customWidth="1"/>
    <col min="2579" max="2579" width="9.85546875" style="1" customWidth="1"/>
    <col min="2580" max="2581" width="10.5703125" style="1" customWidth="1"/>
    <col min="2582" max="2582" width="10" style="1" customWidth="1"/>
    <col min="2583" max="2583" width="10.5703125" style="1" customWidth="1"/>
    <col min="2584" max="2584" width="9.28515625" style="1" customWidth="1"/>
    <col min="2585" max="2585" width="8.5703125" style="1" customWidth="1"/>
    <col min="2586" max="2820" width="9.140625" style="1"/>
    <col min="2821" max="2821" width="5.85546875" style="1" customWidth="1"/>
    <col min="2822" max="2822" width="25" style="1" customWidth="1"/>
    <col min="2823" max="2823" width="10" style="1" bestFit="1" customWidth="1"/>
    <col min="2824" max="2824" width="9.85546875" style="1" customWidth="1"/>
    <col min="2825" max="2825" width="10" style="1" bestFit="1" customWidth="1"/>
    <col min="2826" max="2826" width="9.85546875" style="1" customWidth="1"/>
    <col min="2827" max="2827" width="8.140625" style="1" customWidth="1"/>
    <col min="2828" max="2829" width="8.42578125" style="1" customWidth="1"/>
    <col min="2830" max="2831" width="9" style="1" customWidth="1"/>
    <col min="2832" max="2834" width="0" style="1" hidden="1" customWidth="1"/>
    <col min="2835" max="2835" width="9.85546875" style="1" customWidth="1"/>
    <col min="2836" max="2837" width="10.5703125" style="1" customWidth="1"/>
    <col min="2838" max="2838" width="10" style="1" customWidth="1"/>
    <col min="2839" max="2839" width="10.5703125" style="1" customWidth="1"/>
    <col min="2840" max="2840" width="9.28515625" style="1" customWidth="1"/>
    <col min="2841" max="2841" width="8.5703125" style="1" customWidth="1"/>
    <col min="2842" max="3076" width="9.140625" style="1"/>
    <col min="3077" max="3077" width="5.85546875" style="1" customWidth="1"/>
    <col min="3078" max="3078" width="25" style="1" customWidth="1"/>
    <col min="3079" max="3079" width="10" style="1" bestFit="1" customWidth="1"/>
    <col min="3080" max="3080" width="9.85546875" style="1" customWidth="1"/>
    <col min="3081" max="3081" width="10" style="1" bestFit="1" customWidth="1"/>
    <col min="3082" max="3082" width="9.85546875" style="1" customWidth="1"/>
    <col min="3083" max="3083" width="8.140625" style="1" customWidth="1"/>
    <col min="3084" max="3085" width="8.42578125" style="1" customWidth="1"/>
    <col min="3086" max="3087" width="9" style="1" customWidth="1"/>
    <col min="3088" max="3090" width="0" style="1" hidden="1" customWidth="1"/>
    <col min="3091" max="3091" width="9.85546875" style="1" customWidth="1"/>
    <col min="3092" max="3093" width="10.5703125" style="1" customWidth="1"/>
    <col min="3094" max="3094" width="10" style="1" customWidth="1"/>
    <col min="3095" max="3095" width="10.5703125" style="1" customWidth="1"/>
    <col min="3096" max="3096" width="9.28515625" style="1" customWidth="1"/>
    <col min="3097" max="3097" width="8.5703125" style="1" customWidth="1"/>
    <col min="3098" max="3332" width="9.140625" style="1"/>
    <col min="3333" max="3333" width="5.85546875" style="1" customWidth="1"/>
    <col min="3334" max="3334" width="25" style="1" customWidth="1"/>
    <col min="3335" max="3335" width="10" style="1" bestFit="1" customWidth="1"/>
    <col min="3336" max="3336" width="9.85546875" style="1" customWidth="1"/>
    <col min="3337" max="3337" width="10" style="1" bestFit="1" customWidth="1"/>
    <col min="3338" max="3338" width="9.85546875" style="1" customWidth="1"/>
    <col min="3339" max="3339" width="8.140625" style="1" customWidth="1"/>
    <col min="3340" max="3341" width="8.42578125" style="1" customWidth="1"/>
    <col min="3342" max="3343" width="9" style="1" customWidth="1"/>
    <col min="3344" max="3346" width="0" style="1" hidden="1" customWidth="1"/>
    <col min="3347" max="3347" width="9.85546875" style="1" customWidth="1"/>
    <col min="3348" max="3349" width="10.5703125" style="1" customWidth="1"/>
    <col min="3350" max="3350" width="10" style="1" customWidth="1"/>
    <col min="3351" max="3351" width="10.5703125" style="1" customWidth="1"/>
    <col min="3352" max="3352" width="9.28515625" style="1" customWidth="1"/>
    <col min="3353" max="3353" width="8.5703125" style="1" customWidth="1"/>
    <col min="3354" max="3588" width="9.140625" style="1"/>
    <col min="3589" max="3589" width="5.85546875" style="1" customWidth="1"/>
    <col min="3590" max="3590" width="25" style="1" customWidth="1"/>
    <col min="3591" max="3591" width="10" style="1" bestFit="1" customWidth="1"/>
    <col min="3592" max="3592" width="9.85546875" style="1" customWidth="1"/>
    <col min="3593" max="3593" width="10" style="1" bestFit="1" customWidth="1"/>
    <col min="3594" max="3594" width="9.85546875" style="1" customWidth="1"/>
    <col min="3595" max="3595" width="8.140625" style="1" customWidth="1"/>
    <col min="3596" max="3597" width="8.42578125" style="1" customWidth="1"/>
    <col min="3598" max="3599" width="9" style="1" customWidth="1"/>
    <col min="3600" max="3602" width="0" style="1" hidden="1" customWidth="1"/>
    <col min="3603" max="3603" width="9.85546875" style="1" customWidth="1"/>
    <col min="3604" max="3605" width="10.5703125" style="1" customWidth="1"/>
    <col min="3606" max="3606" width="10" style="1" customWidth="1"/>
    <col min="3607" max="3607" width="10.5703125" style="1" customWidth="1"/>
    <col min="3608" max="3608" width="9.28515625" style="1" customWidth="1"/>
    <col min="3609" max="3609" width="8.5703125" style="1" customWidth="1"/>
    <col min="3610" max="3844" width="9.140625" style="1"/>
    <col min="3845" max="3845" width="5.85546875" style="1" customWidth="1"/>
    <col min="3846" max="3846" width="25" style="1" customWidth="1"/>
    <col min="3847" max="3847" width="10" style="1" bestFit="1" customWidth="1"/>
    <col min="3848" max="3848" width="9.85546875" style="1" customWidth="1"/>
    <col min="3849" max="3849" width="10" style="1" bestFit="1" customWidth="1"/>
    <col min="3850" max="3850" width="9.85546875" style="1" customWidth="1"/>
    <col min="3851" max="3851" width="8.140625" style="1" customWidth="1"/>
    <col min="3852" max="3853" width="8.42578125" style="1" customWidth="1"/>
    <col min="3854" max="3855" width="9" style="1" customWidth="1"/>
    <col min="3856" max="3858" width="0" style="1" hidden="1" customWidth="1"/>
    <col min="3859" max="3859" width="9.85546875" style="1" customWidth="1"/>
    <col min="3860" max="3861" width="10.5703125" style="1" customWidth="1"/>
    <col min="3862" max="3862" width="10" style="1" customWidth="1"/>
    <col min="3863" max="3863" width="10.5703125" style="1" customWidth="1"/>
    <col min="3864" max="3864" width="9.28515625" style="1" customWidth="1"/>
    <col min="3865" max="3865" width="8.5703125" style="1" customWidth="1"/>
    <col min="3866" max="4100" width="9.140625" style="1"/>
    <col min="4101" max="4101" width="5.85546875" style="1" customWidth="1"/>
    <col min="4102" max="4102" width="25" style="1" customWidth="1"/>
    <col min="4103" max="4103" width="10" style="1" bestFit="1" customWidth="1"/>
    <col min="4104" max="4104" width="9.85546875" style="1" customWidth="1"/>
    <col min="4105" max="4105" width="10" style="1" bestFit="1" customWidth="1"/>
    <col min="4106" max="4106" width="9.85546875" style="1" customWidth="1"/>
    <col min="4107" max="4107" width="8.140625" style="1" customWidth="1"/>
    <col min="4108" max="4109" width="8.42578125" style="1" customWidth="1"/>
    <col min="4110" max="4111" width="9" style="1" customWidth="1"/>
    <col min="4112" max="4114" width="0" style="1" hidden="1" customWidth="1"/>
    <col min="4115" max="4115" width="9.85546875" style="1" customWidth="1"/>
    <col min="4116" max="4117" width="10.5703125" style="1" customWidth="1"/>
    <col min="4118" max="4118" width="10" style="1" customWidth="1"/>
    <col min="4119" max="4119" width="10.5703125" style="1" customWidth="1"/>
    <col min="4120" max="4120" width="9.28515625" style="1" customWidth="1"/>
    <col min="4121" max="4121" width="8.5703125" style="1" customWidth="1"/>
    <col min="4122" max="4356" width="9.140625" style="1"/>
    <col min="4357" max="4357" width="5.85546875" style="1" customWidth="1"/>
    <col min="4358" max="4358" width="25" style="1" customWidth="1"/>
    <col min="4359" max="4359" width="10" style="1" bestFit="1" customWidth="1"/>
    <col min="4360" max="4360" width="9.85546875" style="1" customWidth="1"/>
    <col min="4361" max="4361" width="10" style="1" bestFit="1" customWidth="1"/>
    <col min="4362" max="4362" width="9.85546875" style="1" customWidth="1"/>
    <col min="4363" max="4363" width="8.140625" style="1" customWidth="1"/>
    <col min="4364" max="4365" width="8.42578125" style="1" customWidth="1"/>
    <col min="4366" max="4367" width="9" style="1" customWidth="1"/>
    <col min="4368" max="4370" width="0" style="1" hidden="1" customWidth="1"/>
    <col min="4371" max="4371" width="9.85546875" style="1" customWidth="1"/>
    <col min="4372" max="4373" width="10.5703125" style="1" customWidth="1"/>
    <col min="4374" max="4374" width="10" style="1" customWidth="1"/>
    <col min="4375" max="4375" width="10.5703125" style="1" customWidth="1"/>
    <col min="4376" max="4376" width="9.28515625" style="1" customWidth="1"/>
    <col min="4377" max="4377" width="8.5703125" style="1" customWidth="1"/>
    <col min="4378" max="4612" width="9.140625" style="1"/>
    <col min="4613" max="4613" width="5.85546875" style="1" customWidth="1"/>
    <col min="4614" max="4614" width="25" style="1" customWidth="1"/>
    <col min="4615" max="4615" width="10" style="1" bestFit="1" customWidth="1"/>
    <col min="4616" max="4616" width="9.85546875" style="1" customWidth="1"/>
    <col min="4617" max="4617" width="10" style="1" bestFit="1" customWidth="1"/>
    <col min="4618" max="4618" width="9.85546875" style="1" customWidth="1"/>
    <col min="4619" max="4619" width="8.140625" style="1" customWidth="1"/>
    <col min="4620" max="4621" width="8.42578125" style="1" customWidth="1"/>
    <col min="4622" max="4623" width="9" style="1" customWidth="1"/>
    <col min="4624" max="4626" width="0" style="1" hidden="1" customWidth="1"/>
    <col min="4627" max="4627" width="9.85546875" style="1" customWidth="1"/>
    <col min="4628" max="4629" width="10.5703125" style="1" customWidth="1"/>
    <col min="4630" max="4630" width="10" style="1" customWidth="1"/>
    <col min="4631" max="4631" width="10.5703125" style="1" customWidth="1"/>
    <col min="4632" max="4632" width="9.28515625" style="1" customWidth="1"/>
    <col min="4633" max="4633" width="8.5703125" style="1" customWidth="1"/>
    <col min="4634" max="4868" width="9.140625" style="1"/>
    <col min="4869" max="4869" width="5.85546875" style="1" customWidth="1"/>
    <col min="4870" max="4870" width="25" style="1" customWidth="1"/>
    <col min="4871" max="4871" width="10" style="1" bestFit="1" customWidth="1"/>
    <col min="4872" max="4872" width="9.85546875" style="1" customWidth="1"/>
    <col min="4873" max="4873" width="10" style="1" bestFit="1" customWidth="1"/>
    <col min="4874" max="4874" width="9.85546875" style="1" customWidth="1"/>
    <col min="4875" max="4875" width="8.140625" style="1" customWidth="1"/>
    <col min="4876" max="4877" width="8.42578125" style="1" customWidth="1"/>
    <col min="4878" max="4879" width="9" style="1" customWidth="1"/>
    <col min="4880" max="4882" width="0" style="1" hidden="1" customWidth="1"/>
    <col min="4883" max="4883" width="9.85546875" style="1" customWidth="1"/>
    <col min="4884" max="4885" width="10.5703125" style="1" customWidth="1"/>
    <col min="4886" max="4886" width="10" style="1" customWidth="1"/>
    <col min="4887" max="4887" width="10.5703125" style="1" customWidth="1"/>
    <col min="4888" max="4888" width="9.28515625" style="1" customWidth="1"/>
    <col min="4889" max="4889" width="8.5703125" style="1" customWidth="1"/>
    <col min="4890" max="5124" width="9.140625" style="1"/>
    <col min="5125" max="5125" width="5.85546875" style="1" customWidth="1"/>
    <col min="5126" max="5126" width="25" style="1" customWidth="1"/>
    <col min="5127" max="5127" width="10" style="1" bestFit="1" customWidth="1"/>
    <col min="5128" max="5128" width="9.85546875" style="1" customWidth="1"/>
    <col min="5129" max="5129" width="10" style="1" bestFit="1" customWidth="1"/>
    <col min="5130" max="5130" width="9.85546875" style="1" customWidth="1"/>
    <col min="5131" max="5131" width="8.140625" style="1" customWidth="1"/>
    <col min="5132" max="5133" width="8.42578125" style="1" customWidth="1"/>
    <col min="5134" max="5135" width="9" style="1" customWidth="1"/>
    <col min="5136" max="5138" width="0" style="1" hidden="1" customWidth="1"/>
    <col min="5139" max="5139" width="9.85546875" style="1" customWidth="1"/>
    <col min="5140" max="5141" width="10.5703125" style="1" customWidth="1"/>
    <col min="5142" max="5142" width="10" style="1" customWidth="1"/>
    <col min="5143" max="5143" width="10.5703125" style="1" customWidth="1"/>
    <col min="5144" max="5144" width="9.28515625" style="1" customWidth="1"/>
    <col min="5145" max="5145" width="8.5703125" style="1" customWidth="1"/>
    <col min="5146" max="5380" width="9.140625" style="1"/>
    <col min="5381" max="5381" width="5.85546875" style="1" customWidth="1"/>
    <col min="5382" max="5382" width="25" style="1" customWidth="1"/>
    <col min="5383" max="5383" width="10" style="1" bestFit="1" customWidth="1"/>
    <col min="5384" max="5384" width="9.85546875" style="1" customWidth="1"/>
    <col min="5385" max="5385" width="10" style="1" bestFit="1" customWidth="1"/>
    <col min="5386" max="5386" width="9.85546875" style="1" customWidth="1"/>
    <col min="5387" max="5387" width="8.140625" style="1" customWidth="1"/>
    <col min="5388" max="5389" width="8.42578125" style="1" customWidth="1"/>
    <col min="5390" max="5391" width="9" style="1" customWidth="1"/>
    <col min="5392" max="5394" width="0" style="1" hidden="1" customWidth="1"/>
    <col min="5395" max="5395" width="9.85546875" style="1" customWidth="1"/>
    <col min="5396" max="5397" width="10.5703125" style="1" customWidth="1"/>
    <col min="5398" max="5398" width="10" style="1" customWidth="1"/>
    <col min="5399" max="5399" width="10.5703125" style="1" customWidth="1"/>
    <col min="5400" max="5400" width="9.28515625" style="1" customWidth="1"/>
    <col min="5401" max="5401" width="8.5703125" style="1" customWidth="1"/>
    <col min="5402" max="5636" width="9.140625" style="1"/>
    <col min="5637" max="5637" width="5.85546875" style="1" customWidth="1"/>
    <col min="5638" max="5638" width="25" style="1" customWidth="1"/>
    <col min="5639" max="5639" width="10" style="1" bestFit="1" customWidth="1"/>
    <col min="5640" max="5640" width="9.85546875" style="1" customWidth="1"/>
    <col min="5641" max="5641" width="10" style="1" bestFit="1" customWidth="1"/>
    <col min="5642" max="5642" width="9.85546875" style="1" customWidth="1"/>
    <col min="5643" max="5643" width="8.140625" style="1" customWidth="1"/>
    <col min="5644" max="5645" width="8.42578125" style="1" customWidth="1"/>
    <col min="5646" max="5647" width="9" style="1" customWidth="1"/>
    <col min="5648" max="5650" width="0" style="1" hidden="1" customWidth="1"/>
    <col min="5651" max="5651" width="9.85546875" style="1" customWidth="1"/>
    <col min="5652" max="5653" width="10.5703125" style="1" customWidth="1"/>
    <col min="5654" max="5654" width="10" style="1" customWidth="1"/>
    <col min="5655" max="5655" width="10.5703125" style="1" customWidth="1"/>
    <col min="5656" max="5656" width="9.28515625" style="1" customWidth="1"/>
    <col min="5657" max="5657" width="8.5703125" style="1" customWidth="1"/>
    <col min="5658" max="5892" width="9.140625" style="1"/>
    <col min="5893" max="5893" width="5.85546875" style="1" customWidth="1"/>
    <col min="5894" max="5894" width="25" style="1" customWidth="1"/>
    <col min="5895" max="5895" width="10" style="1" bestFit="1" customWidth="1"/>
    <col min="5896" max="5896" width="9.85546875" style="1" customWidth="1"/>
    <col min="5897" max="5897" width="10" style="1" bestFit="1" customWidth="1"/>
    <col min="5898" max="5898" width="9.85546875" style="1" customWidth="1"/>
    <col min="5899" max="5899" width="8.140625" style="1" customWidth="1"/>
    <col min="5900" max="5901" width="8.42578125" style="1" customWidth="1"/>
    <col min="5902" max="5903" width="9" style="1" customWidth="1"/>
    <col min="5904" max="5906" width="0" style="1" hidden="1" customWidth="1"/>
    <col min="5907" max="5907" width="9.85546875" style="1" customWidth="1"/>
    <col min="5908" max="5909" width="10.5703125" style="1" customWidth="1"/>
    <col min="5910" max="5910" width="10" style="1" customWidth="1"/>
    <col min="5911" max="5911" width="10.5703125" style="1" customWidth="1"/>
    <col min="5912" max="5912" width="9.28515625" style="1" customWidth="1"/>
    <col min="5913" max="5913" width="8.5703125" style="1" customWidth="1"/>
    <col min="5914" max="6148" width="9.140625" style="1"/>
    <col min="6149" max="6149" width="5.85546875" style="1" customWidth="1"/>
    <col min="6150" max="6150" width="25" style="1" customWidth="1"/>
    <col min="6151" max="6151" width="10" style="1" bestFit="1" customWidth="1"/>
    <col min="6152" max="6152" width="9.85546875" style="1" customWidth="1"/>
    <col min="6153" max="6153" width="10" style="1" bestFit="1" customWidth="1"/>
    <col min="6154" max="6154" width="9.85546875" style="1" customWidth="1"/>
    <col min="6155" max="6155" width="8.140625" style="1" customWidth="1"/>
    <col min="6156" max="6157" width="8.42578125" style="1" customWidth="1"/>
    <col min="6158" max="6159" width="9" style="1" customWidth="1"/>
    <col min="6160" max="6162" width="0" style="1" hidden="1" customWidth="1"/>
    <col min="6163" max="6163" width="9.85546875" style="1" customWidth="1"/>
    <col min="6164" max="6165" width="10.5703125" style="1" customWidth="1"/>
    <col min="6166" max="6166" width="10" style="1" customWidth="1"/>
    <col min="6167" max="6167" width="10.5703125" style="1" customWidth="1"/>
    <col min="6168" max="6168" width="9.28515625" style="1" customWidth="1"/>
    <col min="6169" max="6169" width="8.5703125" style="1" customWidth="1"/>
    <col min="6170" max="6404" width="9.140625" style="1"/>
    <col min="6405" max="6405" width="5.85546875" style="1" customWidth="1"/>
    <col min="6406" max="6406" width="25" style="1" customWidth="1"/>
    <col min="6407" max="6407" width="10" style="1" bestFit="1" customWidth="1"/>
    <col min="6408" max="6408" width="9.85546875" style="1" customWidth="1"/>
    <col min="6409" max="6409" width="10" style="1" bestFit="1" customWidth="1"/>
    <col min="6410" max="6410" width="9.85546875" style="1" customWidth="1"/>
    <col min="6411" max="6411" width="8.140625" style="1" customWidth="1"/>
    <col min="6412" max="6413" width="8.42578125" style="1" customWidth="1"/>
    <col min="6414" max="6415" width="9" style="1" customWidth="1"/>
    <col min="6416" max="6418" width="0" style="1" hidden="1" customWidth="1"/>
    <col min="6419" max="6419" width="9.85546875" style="1" customWidth="1"/>
    <col min="6420" max="6421" width="10.5703125" style="1" customWidth="1"/>
    <col min="6422" max="6422" width="10" style="1" customWidth="1"/>
    <col min="6423" max="6423" width="10.5703125" style="1" customWidth="1"/>
    <col min="6424" max="6424" width="9.28515625" style="1" customWidth="1"/>
    <col min="6425" max="6425" width="8.5703125" style="1" customWidth="1"/>
    <col min="6426" max="6660" width="9.140625" style="1"/>
    <col min="6661" max="6661" width="5.85546875" style="1" customWidth="1"/>
    <col min="6662" max="6662" width="25" style="1" customWidth="1"/>
    <col min="6663" max="6663" width="10" style="1" bestFit="1" customWidth="1"/>
    <col min="6664" max="6664" width="9.85546875" style="1" customWidth="1"/>
    <col min="6665" max="6665" width="10" style="1" bestFit="1" customWidth="1"/>
    <col min="6666" max="6666" width="9.85546875" style="1" customWidth="1"/>
    <col min="6667" max="6667" width="8.140625" style="1" customWidth="1"/>
    <col min="6668" max="6669" width="8.42578125" style="1" customWidth="1"/>
    <col min="6670" max="6671" width="9" style="1" customWidth="1"/>
    <col min="6672" max="6674" width="0" style="1" hidden="1" customWidth="1"/>
    <col min="6675" max="6675" width="9.85546875" style="1" customWidth="1"/>
    <col min="6676" max="6677" width="10.5703125" style="1" customWidth="1"/>
    <col min="6678" max="6678" width="10" style="1" customWidth="1"/>
    <col min="6679" max="6679" width="10.5703125" style="1" customWidth="1"/>
    <col min="6680" max="6680" width="9.28515625" style="1" customWidth="1"/>
    <col min="6681" max="6681" width="8.5703125" style="1" customWidth="1"/>
    <col min="6682" max="6916" width="9.140625" style="1"/>
    <col min="6917" max="6917" width="5.85546875" style="1" customWidth="1"/>
    <col min="6918" max="6918" width="25" style="1" customWidth="1"/>
    <col min="6919" max="6919" width="10" style="1" bestFit="1" customWidth="1"/>
    <col min="6920" max="6920" width="9.85546875" style="1" customWidth="1"/>
    <col min="6921" max="6921" width="10" style="1" bestFit="1" customWidth="1"/>
    <col min="6922" max="6922" width="9.85546875" style="1" customWidth="1"/>
    <col min="6923" max="6923" width="8.140625" style="1" customWidth="1"/>
    <col min="6924" max="6925" width="8.42578125" style="1" customWidth="1"/>
    <col min="6926" max="6927" width="9" style="1" customWidth="1"/>
    <col min="6928" max="6930" width="0" style="1" hidden="1" customWidth="1"/>
    <col min="6931" max="6931" width="9.85546875" style="1" customWidth="1"/>
    <col min="6932" max="6933" width="10.5703125" style="1" customWidth="1"/>
    <col min="6934" max="6934" width="10" style="1" customWidth="1"/>
    <col min="6935" max="6935" width="10.5703125" style="1" customWidth="1"/>
    <col min="6936" max="6936" width="9.28515625" style="1" customWidth="1"/>
    <col min="6937" max="6937" width="8.5703125" style="1" customWidth="1"/>
    <col min="6938" max="7172" width="9.140625" style="1"/>
    <col min="7173" max="7173" width="5.85546875" style="1" customWidth="1"/>
    <col min="7174" max="7174" width="25" style="1" customWidth="1"/>
    <col min="7175" max="7175" width="10" style="1" bestFit="1" customWidth="1"/>
    <col min="7176" max="7176" width="9.85546875" style="1" customWidth="1"/>
    <col min="7177" max="7177" width="10" style="1" bestFit="1" customWidth="1"/>
    <col min="7178" max="7178" width="9.85546875" style="1" customWidth="1"/>
    <col min="7179" max="7179" width="8.140625" style="1" customWidth="1"/>
    <col min="7180" max="7181" width="8.42578125" style="1" customWidth="1"/>
    <col min="7182" max="7183" width="9" style="1" customWidth="1"/>
    <col min="7184" max="7186" width="0" style="1" hidden="1" customWidth="1"/>
    <col min="7187" max="7187" width="9.85546875" style="1" customWidth="1"/>
    <col min="7188" max="7189" width="10.5703125" style="1" customWidth="1"/>
    <col min="7190" max="7190" width="10" style="1" customWidth="1"/>
    <col min="7191" max="7191" width="10.5703125" style="1" customWidth="1"/>
    <col min="7192" max="7192" width="9.28515625" style="1" customWidth="1"/>
    <col min="7193" max="7193" width="8.5703125" style="1" customWidth="1"/>
    <col min="7194" max="7428" width="9.140625" style="1"/>
    <col min="7429" max="7429" width="5.85546875" style="1" customWidth="1"/>
    <col min="7430" max="7430" width="25" style="1" customWidth="1"/>
    <col min="7431" max="7431" width="10" style="1" bestFit="1" customWidth="1"/>
    <col min="7432" max="7432" width="9.85546875" style="1" customWidth="1"/>
    <col min="7433" max="7433" width="10" style="1" bestFit="1" customWidth="1"/>
    <col min="7434" max="7434" width="9.85546875" style="1" customWidth="1"/>
    <col min="7435" max="7435" width="8.140625" style="1" customWidth="1"/>
    <col min="7436" max="7437" width="8.42578125" style="1" customWidth="1"/>
    <col min="7438" max="7439" width="9" style="1" customWidth="1"/>
    <col min="7440" max="7442" width="0" style="1" hidden="1" customWidth="1"/>
    <col min="7443" max="7443" width="9.85546875" style="1" customWidth="1"/>
    <col min="7444" max="7445" width="10.5703125" style="1" customWidth="1"/>
    <col min="7446" max="7446" width="10" style="1" customWidth="1"/>
    <col min="7447" max="7447" width="10.5703125" style="1" customWidth="1"/>
    <col min="7448" max="7448" width="9.28515625" style="1" customWidth="1"/>
    <col min="7449" max="7449" width="8.5703125" style="1" customWidth="1"/>
    <col min="7450" max="7684" width="9.140625" style="1"/>
    <col min="7685" max="7685" width="5.85546875" style="1" customWidth="1"/>
    <col min="7686" max="7686" width="25" style="1" customWidth="1"/>
    <col min="7687" max="7687" width="10" style="1" bestFit="1" customWidth="1"/>
    <col min="7688" max="7688" width="9.85546875" style="1" customWidth="1"/>
    <col min="7689" max="7689" width="10" style="1" bestFit="1" customWidth="1"/>
    <col min="7690" max="7690" width="9.85546875" style="1" customWidth="1"/>
    <col min="7691" max="7691" width="8.140625" style="1" customWidth="1"/>
    <col min="7692" max="7693" width="8.42578125" style="1" customWidth="1"/>
    <col min="7694" max="7695" width="9" style="1" customWidth="1"/>
    <col min="7696" max="7698" width="0" style="1" hidden="1" customWidth="1"/>
    <col min="7699" max="7699" width="9.85546875" style="1" customWidth="1"/>
    <col min="7700" max="7701" width="10.5703125" style="1" customWidth="1"/>
    <col min="7702" max="7702" width="10" style="1" customWidth="1"/>
    <col min="7703" max="7703" width="10.5703125" style="1" customWidth="1"/>
    <col min="7704" max="7704" width="9.28515625" style="1" customWidth="1"/>
    <col min="7705" max="7705" width="8.5703125" style="1" customWidth="1"/>
    <col min="7706" max="7940" width="9.140625" style="1"/>
    <col min="7941" max="7941" width="5.85546875" style="1" customWidth="1"/>
    <col min="7942" max="7942" width="25" style="1" customWidth="1"/>
    <col min="7943" max="7943" width="10" style="1" bestFit="1" customWidth="1"/>
    <col min="7944" max="7944" width="9.85546875" style="1" customWidth="1"/>
    <col min="7945" max="7945" width="10" style="1" bestFit="1" customWidth="1"/>
    <col min="7946" max="7946" width="9.85546875" style="1" customWidth="1"/>
    <col min="7947" max="7947" width="8.140625" style="1" customWidth="1"/>
    <col min="7948" max="7949" width="8.42578125" style="1" customWidth="1"/>
    <col min="7950" max="7951" width="9" style="1" customWidth="1"/>
    <col min="7952" max="7954" width="0" style="1" hidden="1" customWidth="1"/>
    <col min="7955" max="7955" width="9.85546875" style="1" customWidth="1"/>
    <col min="7956" max="7957" width="10.5703125" style="1" customWidth="1"/>
    <col min="7958" max="7958" width="10" style="1" customWidth="1"/>
    <col min="7959" max="7959" width="10.5703125" style="1" customWidth="1"/>
    <col min="7960" max="7960" width="9.28515625" style="1" customWidth="1"/>
    <col min="7961" max="7961" width="8.5703125" style="1" customWidth="1"/>
    <col min="7962" max="8196" width="9.140625" style="1"/>
    <col min="8197" max="8197" width="5.85546875" style="1" customWidth="1"/>
    <col min="8198" max="8198" width="25" style="1" customWidth="1"/>
    <col min="8199" max="8199" width="10" style="1" bestFit="1" customWidth="1"/>
    <col min="8200" max="8200" width="9.85546875" style="1" customWidth="1"/>
    <col min="8201" max="8201" width="10" style="1" bestFit="1" customWidth="1"/>
    <col min="8202" max="8202" width="9.85546875" style="1" customWidth="1"/>
    <col min="8203" max="8203" width="8.140625" style="1" customWidth="1"/>
    <col min="8204" max="8205" width="8.42578125" style="1" customWidth="1"/>
    <col min="8206" max="8207" width="9" style="1" customWidth="1"/>
    <col min="8208" max="8210" width="0" style="1" hidden="1" customWidth="1"/>
    <col min="8211" max="8211" width="9.85546875" style="1" customWidth="1"/>
    <col min="8212" max="8213" width="10.5703125" style="1" customWidth="1"/>
    <col min="8214" max="8214" width="10" style="1" customWidth="1"/>
    <col min="8215" max="8215" width="10.5703125" style="1" customWidth="1"/>
    <col min="8216" max="8216" width="9.28515625" style="1" customWidth="1"/>
    <col min="8217" max="8217" width="8.5703125" style="1" customWidth="1"/>
    <col min="8218" max="8452" width="9.140625" style="1"/>
    <col min="8453" max="8453" width="5.85546875" style="1" customWidth="1"/>
    <col min="8454" max="8454" width="25" style="1" customWidth="1"/>
    <col min="8455" max="8455" width="10" style="1" bestFit="1" customWidth="1"/>
    <col min="8456" max="8456" width="9.85546875" style="1" customWidth="1"/>
    <col min="8457" max="8457" width="10" style="1" bestFit="1" customWidth="1"/>
    <col min="8458" max="8458" width="9.85546875" style="1" customWidth="1"/>
    <col min="8459" max="8459" width="8.140625" style="1" customWidth="1"/>
    <col min="8460" max="8461" width="8.42578125" style="1" customWidth="1"/>
    <col min="8462" max="8463" width="9" style="1" customWidth="1"/>
    <col min="8464" max="8466" width="0" style="1" hidden="1" customWidth="1"/>
    <col min="8467" max="8467" width="9.85546875" style="1" customWidth="1"/>
    <col min="8468" max="8469" width="10.5703125" style="1" customWidth="1"/>
    <col min="8470" max="8470" width="10" style="1" customWidth="1"/>
    <col min="8471" max="8471" width="10.5703125" style="1" customWidth="1"/>
    <col min="8472" max="8472" width="9.28515625" style="1" customWidth="1"/>
    <col min="8473" max="8473" width="8.5703125" style="1" customWidth="1"/>
    <col min="8474" max="8708" width="9.140625" style="1"/>
    <col min="8709" max="8709" width="5.85546875" style="1" customWidth="1"/>
    <col min="8710" max="8710" width="25" style="1" customWidth="1"/>
    <col min="8711" max="8711" width="10" style="1" bestFit="1" customWidth="1"/>
    <col min="8712" max="8712" width="9.85546875" style="1" customWidth="1"/>
    <col min="8713" max="8713" width="10" style="1" bestFit="1" customWidth="1"/>
    <col min="8714" max="8714" width="9.85546875" style="1" customWidth="1"/>
    <col min="8715" max="8715" width="8.140625" style="1" customWidth="1"/>
    <col min="8716" max="8717" width="8.42578125" style="1" customWidth="1"/>
    <col min="8718" max="8719" width="9" style="1" customWidth="1"/>
    <col min="8720" max="8722" width="0" style="1" hidden="1" customWidth="1"/>
    <col min="8723" max="8723" width="9.85546875" style="1" customWidth="1"/>
    <col min="8724" max="8725" width="10.5703125" style="1" customWidth="1"/>
    <col min="8726" max="8726" width="10" style="1" customWidth="1"/>
    <col min="8727" max="8727" width="10.5703125" style="1" customWidth="1"/>
    <col min="8728" max="8728" width="9.28515625" style="1" customWidth="1"/>
    <col min="8729" max="8729" width="8.5703125" style="1" customWidth="1"/>
    <col min="8730" max="8964" width="9.140625" style="1"/>
    <col min="8965" max="8965" width="5.85546875" style="1" customWidth="1"/>
    <col min="8966" max="8966" width="25" style="1" customWidth="1"/>
    <col min="8967" max="8967" width="10" style="1" bestFit="1" customWidth="1"/>
    <col min="8968" max="8968" width="9.85546875" style="1" customWidth="1"/>
    <col min="8969" max="8969" width="10" style="1" bestFit="1" customWidth="1"/>
    <col min="8970" max="8970" width="9.85546875" style="1" customWidth="1"/>
    <col min="8971" max="8971" width="8.140625" style="1" customWidth="1"/>
    <col min="8972" max="8973" width="8.42578125" style="1" customWidth="1"/>
    <col min="8974" max="8975" width="9" style="1" customWidth="1"/>
    <col min="8976" max="8978" width="0" style="1" hidden="1" customWidth="1"/>
    <col min="8979" max="8979" width="9.85546875" style="1" customWidth="1"/>
    <col min="8980" max="8981" width="10.5703125" style="1" customWidth="1"/>
    <col min="8982" max="8982" width="10" style="1" customWidth="1"/>
    <col min="8983" max="8983" width="10.5703125" style="1" customWidth="1"/>
    <col min="8984" max="8984" width="9.28515625" style="1" customWidth="1"/>
    <col min="8985" max="8985" width="8.5703125" style="1" customWidth="1"/>
    <col min="8986" max="9220" width="9.140625" style="1"/>
    <col min="9221" max="9221" width="5.85546875" style="1" customWidth="1"/>
    <col min="9222" max="9222" width="25" style="1" customWidth="1"/>
    <col min="9223" max="9223" width="10" style="1" bestFit="1" customWidth="1"/>
    <col min="9224" max="9224" width="9.85546875" style="1" customWidth="1"/>
    <col min="9225" max="9225" width="10" style="1" bestFit="1" customWidth="1"/>
    <col min="9226" max="9226" width="9.85546875" style="1" customWidth="1"/>
    <col min="9227" max="9227" width="8.140625" style="1" customWidth="1"/>
    <col min="9228" max="9229" width="8.42578125" style="1" customWidth="1"/>
    <col min="9230" max="9231" width="9" style="1" customWidth="1"/>
    <col min="9232" max="9234" width="0" style="1" hidden="1" customWidth="1"/>
    <col min="9235" max="9235" width="9.85546875" style="1" customWidth="1"/>
    <col min="9236" max="9237" width="10.5703125" style="1" customWidth="1"/>
    <col min="9238" max="9238" width="10" style="1" customWidth="1"/>
    <col min="9239" max="9239" width="10.5703125" style="1" customWidth="1"/>
    <col min="9240" max="9240" width="9.28515625" style="1" customWidth="1"/>
    <col min="9241" max="9241" width="8.5703125" style="1" customWidth="1"/>
    <col min="9242" max="9476" width="9.140625" style="1"/>
    <col min="9477" max="9477" width="5.85546875" style="1" customWidth="1"/>
    <col min="9478" max="9478" width="25" style="1" customWidth="1"/>
    <col min="9479" max="9479" width="10" style="1" bestFit="1" customWidth="1"/>
    <col min="9480" max="9480" width="9.85546875" style="1" customWidth="1"/>
    <col min="9481" max="9481" width="10" style="1" bestFit="1" customWidth="1"/>
    <col min="9482" max="9482" width="9.85546875" style="1" customWidth="1"/>
    <col min="9483" max="9483" width="8.140625" style="1" customWidth="1"/>
    <col min="9484" max="9485" width="8.42578125" style="1" customWidth="1"/>
    <col min="9486" max="9487" width="9" style="1" customWidth="1"/>
    <col min="9488" max="9490" width="0" style="1" hidden="1" customWidth="1"/>
    <col min="9491" max="9491" width="9.85546875" style="1" customWidth="1"/>
    <col min="9492" max="9493" width="10.5703125" style="1" customWidth="1"/>
    <col min="9494" max="9494" width="10" style="1" customWidth="1"/>
    <col min="9495" max="9495" width="10.5703125" style="1" customWidth="1"/>
    <col min="9496" max="9496" width="9.28515625" style="1" customWidth="1"/>
    <col min="9497" max="9497" width="8.5703125" style="1" customWidth="1"/>
    <col min="9498" max="9732" width="9.140625" style="1"/>
    <col min="9733" max="9733" width="5.85546875" style="1" customWidth="1"/>
    <col min="9734" max="9734" width="25" style="1" customWidth="1"/>
    <col min="9735" max="9735" width="10" style="1" bestFit="1" customWidth="1"/>
    <col min="9736" max="9736" width="9.85546875" style="1" customWidth="1"/>
    <col min="9737" max="9737" width="10" style="1" bestFit="1" customWidth="1"/>
    <col min="9738" max="9738" width="9.85546875" style="1" customWidth="1"/>
    <col min="9739" max="9739" width="8.140625" style="1" customWidth="1"/>
    <col min="9740" max="9741" width="8.42578125" style="1" customWidth="1"/>
    <col min="9742" max="9743" width="9" style="1" customWidth="1"/>
    <col min="9744" max="9746" width="0" style="1" hidden="1" customWidth="1"/>
    <col min="9747" max="9747" width="9.85546875" style="1" customWidth="1"/>
    <col min="9748" max="9749" width="10.5703125" style="1" customWidth="1"/>
    <col min="9750" max="9750" width="10" style="1" customWidth="1"/>
    <col min="9751" max="9751" width="10.5703125" style="1" customWidth="1"/>
    <col min="9752" max="9752" width="9.28515625" style="1" customWidth="1"/>
    <col min="9753" max="9753" width="8.5703125" style="1" customWidth="1"/>
    <col min="9754" max="9988" width="9.140625" style="1"/>
    <col min="9989" max="9989" width="5.85546875" style="1" customWidth="1"/>
    <col min="9990" max="9990" width="25" style="1" customWidth="1"/>
    <col min="9991" max="9991" width="10" style="1" bestFit="1" customWidth="1"/>
    <col min="9992" max="9992" width="9.85546875" style="1" customWidth="1"/>
    <col min="9993" max="9993" width="10" style="1" bestFit="1" customWidth="1"/>
    <col min="9994" max="9994" width="9.85546875" style="1" customWidth="1"/>
    <col min="9995" max="9995" width="8.140625" style="1" customWidth="1"/>
    <col min="9996" max="9997" width="8.42578125" style="1" customWidth="1"/>
    <col min="9998" max="9999" width="9" style="1" customWidth="1"/>
    <col min="10000" max="10002" width="0" style="1" hidden="1" customWidth="1"/>
    <col min="10003" max="10003" width="9.85546875" style="1" customWidth="1"/>
    <col min="10004" max="10005" width="10.5703125" style="1" customWidth="1"/>
    <col min="10006" max="10006" width="10" style="1" customWidth="1"/>
    <col min="10007" max="10007" width="10.5703125" style="1" customWidth="1"/>
    <col min="10008" max="10008" width="9.28515625" style="1" customWidth="1"/>
    <col min="10009" max="10009" width="8.5703125" style="1" customWidth="1"/>
    <col min="10010" max="10244" width="9.140625" style="1"/>
    <col min="10245" max="10245" width="5.85546875" style="1" customWidth="1"/>
    <col min="10246" max="10246" width="25" style="1" customWidth="1"/>
    <col min="10247" max="10247" width="10" style="1" bestFit="1" customWidth="1"/>
    <col min="10248" max="10248" width="9.85546875" style="1" customWidth="1"/>
    <col min="10249" max="10249" width="10" style="1" bestFit="1" customWidth="1"/>
    <col min="10250" max="10250" width="9.85546875" style="1" customWidth="1"/>
    <col min="10251" max="10251" width="8.140625" style="1" customWidth="1"/>
    <col min="10252" max="10253" width="8.42578125" style="1" customWidth="1"/>
    <col min="10254" max="10255" width="9" style="1" customWidth="1"/>
    <col min="10256" max="10258" width="0" style="1" hidden="1" customWidth="1"/>
    <col min="10259" max="10259" width="9.85546875" style="1" customWidth="1"/>
    <col min="10260" max="10261" width="10.5703125" style="1" customWidth="1"/>
    <col min="10262" max="10262" width="10" style="1" customWidth="1"/>
    <col min="10263" max="10263" width="10.5703125" style="1" customWidth="1"/>
    <col min="10264" max="10264" width="9.28515625" style="1" customWidth="1"/>
    <col min="10265" max="10265" width="8.5703125" style="1" customWidth="1"/>
    <col min="10266" max="10500" width="9.140625" style="1"/>
    <col min="10501" max="10501" width="5.85546875" style="1" customWidth="1"/>
    <col min="10502" max="10502" width="25" style="1" customWidth="1"/>
    <col min="10503" max="10503" width="10" style="1" bestFit="1" customWidth="1"/>
    <col min="10504" max="10504" width="9.85546875" style="1" customWidth="1"/>
    <col min="10505" max="10505" width="10" style="1" bestFit="1" customWidth="1"/>
    <col min="10506" max="10506" width="9.85546875" style="1" customWidth="1"/>
    <col min="10507" max="10507" width="8.140625" style="1" customWidth="1"/>
    <col min="10508" max="10509" width="8.42578125" style="1" customWidth="1"/>
    <col min="10510" max="10511" width="9" style="1" customWidth="1"/>
    <col min="10512" max="10514" width="0" style="1" hidden="1" customWidth="1"/>
    <col min="10515" max="10515" width="9.85546875" style="1" customWidth="1"/>
    <col min="10516" max="10517" width="10.5703125" style="1" customWidth="1"/>
    <col min="10518" max="10518" width="10" style="1" customWidth="1"/>
    <col min="10519" max="10519" width="10.5703125" style="1" customWidth="1"/>
    <col min="10520" max="10520" width="9.28515625" style="1" customWidth="1"/>
    <col min="10521" max="10521" width="8.5703125" style="1" customWidth="1"/>
    <col min="10522" max="10756" width="9.140625" style="1"/>
    <col min="10757" max="10757" width="5.85546875" style="1" customWidth="1"/>
    <col min="10758" max="10758" width="25" style="1" customWidth="1"/>
    <col min="10759" max="10759" width="10" style="1" bestFit="1" customWidth="1"/>
    <col min="10760" max="10760" width="9.85546875" style="1" customWidth="1"/>
    <col min="10761" max="10761" width="10" style="1" bestFit="1" customWidth="1"/>
    <col min="10762" max="10762" width="9.85546875" style="1" customWidth="1"/>
    <col min="10763" max="10763" width="8.140625" style="1" customWidth="1"/>
    <col min="10764" max="10765" width="8.42578125" style="1" customWidth="1"/>
    <col min="10766" max="10767" width="9" style="1" customWidth="1"/>
    <col min="10768" max="10770" width="0" style="1" hidden="1" customWidth="1"/>
    <col min="10771" max="10771" width="9.85546875" style="1" customWidth="1"/>
    <col min="10772" max="10773" width="10.5703125" style="1" customWidth="1"/>
    <col min="10774" max="10774" width="10" style="1" customWidth="1"/>
    <col min="10775" max="10775" width="10.5703125" style="1" customWidth="1"/>
    <col min="10776" max="10776" width="9.28515625" style="1" customWidth="1"/>
    <col min="10777" max="10777" width="8.5703125" style="1" customWidth="1"/>
    <col min="10778" max="11012" width="9.140625" style="1"/>
    <col min="11013" max="11013" width="5.85546875" style="1" customWidth="1"/>
    <col min="11014" max="11014" width="25" style="1" customWidth="1"/>
    <col min="11015" max="11015" width="10" style="1" bestFit="1" customWidth="1"/>
    <col min="11016" max="11016" width="9.85546875" style="1" customWidth="1"/>
    <col min="11017" max="11017" width="10" style="1" bestFit="1" customWidth="1"/>
    <col min="11018" max="11018" width="9.85546875" style="1" customWidth="1"/>
    <col min="11019" max="11019" width="8.140625" style="1" customWidth="1"/>
    <col min="11020" max="11021" width="8.42578125" style="1" customWidth="1"/>
    <col min="11022" max="11023" width="9" style="1" customWidth="1"/>
    <col min="11024" max="11026" width="0" style="1" hidden="1" customWidth="1"/>
    <col min="11027" max="11027" width="9.85546875" style="1" customWidth="1"/>
    <col min="11028" max="11029" width="10.5703125" style="1" customWidth="1"/>
    <col min="11030" max="11030" width="10" style="1" customWidth="1"/>
    <col min="11031" max="11031" width="10.5703125" style="1" customWidth="1"/>
    <col min="11032" max="11032" width="9.28515625" style="1" customWidth="1"/>
    <col min="11033" max="11033" width="8.5703125" style="1" customWidth="1"/>
    <col min="11034" max="11268" width="9.140625" style="1"/>
    <col min="11269" max="11269" width="5.85546875" style="1" customWidth="1"/>
    <col min="11270" max="11270" width="25" style="1" customWidth="1"/>
    <col min="11271" max="11271" width="10" style="1" bestFit="1" customWidth="1"/>
    <col min="11272" max="11272" width="9.85546875" style="1" customWidth="1"/>
    <col min="11273" max="11273" width="10" style="1" bestFit="1" customWidth="1"/>
    <col min="11274" max="11274" width="9.85546875" style="1" customWidth="1"/>
    <col min="11275" max="11275" width="8.140625" style="1" customWidth="1"/>
    <col min="11276" max="11277" width="8.42578125" style="1" customWidth="1"/>
    <col min="11278" max="11279" width="9" style="1" customWidth="1"/>
    <col min="11280" max="11282" width="0" style="1" hidden="1" customWidth="1"/>
    <col min="11283" max="11283" width="9.85546875" style="1" customWidth="1"/>
    <col min="11284" max="11285" width="10.5703125" style="1" customWidth="1"/>
    <col min="11286" max="11286" width="10" style="1" customWidth="1"/>
    <col min="11287" max="11287" width="10.5703125" style="1" customWidth="1"/>
    <col min="11288" max="11288" width="9.28515625" style="1" customWidth="1"/>
    <col min="11289" max="11289" width="8.5703125" style="1" customWidth="1"/>
    <col min="11290" max="11524" width="9.140625" style="1"/>
    <col min="11525" max="11525" width="5.85546875" style="1" customWidth="1"/>
    <col min="11526" max="11526" width="25" style="1" customWidth="1"/>
    <col min="11527" max="11527" width="10" style="1" bestFit="1" customWidth="1"/>
    <col min="11528" max="11528" width="9.85546875" style="1" customWidth="1"/>
    <col min="11529" max="11529" width="10" style="1" bestFit="1" customWidth="1"/>
    <col min="11530" max="11530" width="9.85546875" style="1" customWidth="1"/>
    <col min="11531" max="11531" width="8.140625" style="1" customWidth="1"/>
    <col min="11532" max="11533" width="8.42578125" style="1" customWidth="1"/>
    <col min="11534" max="11535" width="9" style="1" customWidth="1"/>
    <col min="11536" max="11538" width="0" style="1" hidden="1" customWidth="1"/>
    <col min="11539" max="11539" width="9.85546875" style="1" customWidth="1"/>
    <col min="11540" max="11541" width="10.5703125" style="1" customWidth="1"/>
    <col min="11542" max="11542" width="10" style="1" customWidth="1"/>
    <col min="11543" max="11543" width="10.5703125" style="1" customWidth="1"/>
    <col min="11544" max="11544" width="9.28515625" style="1" customWidth="1"/>
    <col min="11545" max="11545" width="8.5703125" style="1" customWidth="1"/>
    <col min="11546" max="11780" width="9.140625" style="1"/>
    <col min="11781" max="11781" width="5.85546875" style="1" customWidth="1"/>
    <col min="11782" max="11782" width="25" style="1" customWidth="1"/>
    <col min="11783" max="11783" width="10" style="1" bestFit="1" customWidth="1"/>
    <col min="11784" max="11784" width="9.85546875" style="1" customWidth="1"/>
    <col min="11785" max="11785" width="10" style="1" bestFit="1" customWidth="1"/>
    <col min="11786" max="11786" width="9.85546875" style="1" customWidth="1"/>
    <col min="11787" max="11787" width="8.140625" style="1" customWidth="1"/>
    <col min="11788" max="11789" width="8.42578125" style="1" customWidth="1"/>
    <col min="11790" max="11791" width="9" style="1" customWidth="1"/>
    <col min="11792" max="11794" width="0" style="1" hidden="1" customWidth="1"/>
    <col min="11795" max="11795" width="9.85546875" style="1" customWidth="1"/>
    <col min="11796" max="11797" width="10.5703125" style="1" customWidth="1"/>
    <col min="11798" max="11798" width="10" style="1" customWidth="1"/>
    <col min="11799" max="11799" width="10.5703125" style="1" customWidth="1"/>
    <col min="11800" max="11800" width="9.28515625" style="1" customWidth="1"/>
    <col min="11801" max="11801" width="8.5703125" style="1" customWidth="1"/>
    <col min="11802" max="12036" width="9.140625" style="1"/>
    <col min="12037" max="12037" width="5.85546875" style="1" customWidth="1"/>
    <col min="12038" max="12038" width="25" style="1" customWidth="1"/>
    <col min="12039" max="12039" width="10" style="1" bestFit="1" customWidth="1"/>
    <col min="12040" max="12040" width="9.85546875" style="1" customWidth="1"/>
    <col min="12041" max="12041" width="10" style="1" bestFit="1" customWidth="1"/>
    <col min="12042" max="12042" width="9.85546875" style="1" customWidth="1"/>
    <col min="12043" max="12043" width="8.140625" style="1" customWidth="1"/>
    <col min="12044" max="12045" width="8.42578125" style="1" customWidth="1"/>
    <col min="12046" max="12047" width="9" style="1" customWidth="1"/>
    <col min="12048" max="12050" width="0" style="1" hidden="1" customWidth="1"/>
    <col min="12051" max="12051" width="9.85546875" style="1" customWidth="1"/>
    <col min="12052" max="12053" width="10.5703125" style="1" customWidth="1"/>
    <col min="12054" max="12054" width="10" style="1" customWidth="1"/>
    <col min="12055" max="12055" width="10.5703125" style="1" customWidth="1"/>
    <col min="12056" max="12056" width="9.28515625" style="1" customWidth="1"/>
    <col min="12057" max="12057" width="8.5703125" style="1" customWidth="1"/>
    <col min="12058" max="12292" width="9.140625" style="1"/>
    <col min="12293" max="12293" width="5.85546875" style="1" customWidth="1"/>
    <col min="12294" max="12294" width="25" style="1" customWidth="1"/>
    <col min="12295" max="12295" width="10" style="1" bestFit="1" customWidth="1"/>
    <col min="12296" max="12296" width="9.85546875" style="1" customWidth="1"/>
    <col min="12297" max="12297" width="10" style="1" bestFit="1" customWidth="1"/>
    <col min="12298" max="12298" width="9.85546875" style="1" customWidth="1"/>
    <col min="12299" max="12299" width="8.140625" style="1" customWidth="1"/>
    <col min="12300" max="12301" width="8.42578125" style="1" customWidth="1"/>
    <col min="12302" max="12303" width="9" style="1" customWidth="1"/>
    <col min="12304" max="12306" width="0" style="1" hidden="1" customWidth="1"/>
    <col min="12307" max="12307" width="9.85546875" style="1" customWidth="1"/>
    <col min="12308" max="12309" width="10.5703125" style="1" customWidth="1"/>
    <col min="12310" max="12310" width="10" style="1" customWidth="1"/>
    <col min="12311" max="12311" width="10.5703125" style="1" customWidth="1"/>
    <col min="12312" max="12312" width="9.28515625" style="1" customWidth="1"/>
    <col min="12313" max="12313" width="8.5703125" style="1" customWidth="1"/>
    <col min="12314" max="12548" width="9.140625" style="1"/>
    <col min="12549" max="12549" width="5.85546875" style="1" customWidth="1"/>
    <col min="12550" max="12550" width="25" style="1" customWidth="1"/>
    <col min="12551" max="12551" width="10" style="1" bestFit="1" customWidth="1"/>
    <col min="12552" max="12552" width="9.85546875" style="1" customWidth="1"/>
    <col min="12553" max="12553" width="10" style="1" bestFit="1" customWidth="1"/>
    <col min="12554" max="12554" width="9.85546875" style="1" customWidth="1"/>
    <col min="12555" max="12555" width="8.140625" style="1" customWidth="1"/>
    <col min="12556" max="12557" width="8.42578125" style="1" customWidth="1"/>
    <col min="12558" max="12559" width="9" style="1" customWidth="1"/>
    <col min="12560" max="12562" width="0" style="1" hidden="1" customWidth="1"/>
    <col min="12563" max="12563" width="9.85546875" style="1" customWidth="1"/>
    <col min="12564" max="12565" width="10.5703125" style="1" customWidth="1"/>
    <col min="12566" max="12566" width="10" style="1" customWidth="1"/>
    <col min="12567" max="12567" width="10.5703125" style="1" customWidth="1"/>
    <col min="12568" max="12568" width="9.28515625" style="1" customWidth="1"/>
    <col min="12569" max="12569" width="8.5703125" style="1" customWidth="1"/>
    <col min="12570" max="12804" width="9.140625" style="1"/>
    <col min="12805" max="12805" width="5.85546875" style="1" customWidth="1"/>
    <col min="12806" max="12806" width="25" style="1" customWidth="1"/>
    <col min="12807" max="12807" width="10" style="1" bestFit="1" customWidth="1"/>
    <col min="12808" max="12808" width="9.85546875" style="1" customWidth="1"/>
    <col min="12809" max="12809" width="10" style="1" bestFit="1" customWidth="1"/>
    <col min="12810" max="12810" width="9.85546875" style="1" customWidth="1"/>
    <col min="12811" max="12811" width="8.140625" style="1" customWidth="1"/>
    <col min="12812" max="12813" width="8.42578125" style="1" customWidth="1"/>
    <col min="12814" max="12815" width="9" style="1" customWidth="1"/>
    <col min="12816" max="12818" width="0" style="1" hidden="1" customWidth="1"/>
    <col min="12819" max="12819" width="9.85546875" style="1" customWidth="1"/>
    <col min="12820" max="12821" width="10.5703125" style="1" customWidth="1"/>
    <col min="12822" max="12822" width="10" style="1" customWidth="1"/>
    <col min="12823" max="12823" width="10.5703125" style="1" customWidth="1"/>
    <col min="12824" max="12824" width="9.28515625" style="1" customWidth="1"/>
    <col min="12825" max="12825" width="8.5703125" style="1" customWidth="1"/>
    <col min="12826" max="13060" width="9.140625" style="1"/>
    <col min="13061" max="13061" width="5.85546875" style="1" customWidth="1"/>
    <col min="13062" max="13062" width="25" style="1" customWidth="1"/>
    <col min="13063" max="13063" width="10" style="1" bestFit="1" customWidth="1"/>
    <col min="13064" max="13064" width="9.85546875" style="1" customWidth="1"/>
    <col min="13065" max="13065" width="10" style="1" bestFit="1" customWidth="1"/>
    <col min="13066" max="13066" width="9.85546875" style="1" customWidth="1"/>
    <col min="13067" max="13067" width="8.140625" style="1" customWidth="1"/>
    <col min="13068" max="13069" width="8.42578125" style="1" customWidth="1"/>
    <col min="13070" max="13071" width="9" style="1" customWidth="1"/>
    <col min="13072" max="13074" width="0" style="1" hidden="1" customWidth="1"/>
    <col min="13075" max="13075" width="9.85546875" style="1" customWidth="1"/>
    <col min="13076" max="13077" width="10.5703125" style="1" customWidth="1"/>
    <col min="13078" max="13078" width="10" style="1" customWidth="1"/>
    <col min="13079" max="13079" width="10.5703125" style="1" customWidth="1"/>
    <col min="13080" max="13080" width="9.28515625" style="1" customWidth="1"/>
    <col min="13081" max="13081" width="8.5703125" style="1" customWidth="1"/>
    <col min="13082" max="13316" width="9.140625" style="1"/>
    <col min="13317" max="13317" width="5.85546875" style="1" customWidth="1"/>
    <col min="13318" max="13318" width="25" style="1" customWidth="1"/>
    <col min="13319" max="13319" width="10" style="1" bestFit="1" customWidth="1"/>
    <col min="13320" max="13320" width="9.85546875" style="1" customWidth="1"/>
    <col min="13321" max="13321" width="10" style="1" bestFit="1" customWidth="1"/>
    <col min="13322" max="13322" width="9.85546875" style="1" customWidth="1"/>
    <col min="13323" max="13323" width="8.140625" style="1" customWidth="1"/>
    <col min="13324" max="13325" width="8.42578125" style="1" customWidth="1"/>
    <col min="13326" max="13327" width="9" style="1" customWidth="1"/>
    <col min="13328" max="13330" width="0" style="1" hidden="1" customWidth="1"/>
    <col min="13331" max="13331" width="9.85546875" style="1" customWidth="1"/>
    <col min="13332" max="13333" width="10.5703125" style="1" customWidth="1"/>
    <col min="13334" max="13334" width="10" style="1" customWidth="1"/>
    <col min="13335" max="13335" width="10.5703125" style="1" customWidth="1"/>
    <col min="13336" max="13336" width="9.28515625" style="1" customWidth="1"/>
    <col min="13337" max="13337" width="8.5703125" style="1" customWidth="1"/>
    <col min="13338" max="13572" width="9.140625" style="1"/>
    <col min="13573" max="13573" width="5.85546875" style="1" customWidth="1"/>
    <col min="13574" max="13574" width="25" style="1" customWidth="1"/>
    <col min="13575" max="13575" width="10" style="1" bestFit="1" customWidth="1"/>
    <col min="13576" max="13576" width="9.85546875" style="1" customWidth="1"/>
    <col min="13577" max="13577" width="10" style="1" bestFit="1" customWidth="1"/>
    <col min="13578" max="13578" width="9.85546875" style="1" customWidth="1"/>
    <col min="13579" max="13579" width="8.140625" style="1" customWidth="1"/>
    <col min="13580" max="13581" width="8.42578125" style="1" customWidth="1"/>
    <col min="13582" max="13583" width="9" style="1" customWidth="1"/>
    <col min="13584" max="13586" width="0" style="1" hidden="1" customWidth="1"/>
    <col min="13587" max="13587" width="9.85546875" style="1" customWidth="1"/>
    <col min="13588" max="13589" width="10.5703125" style="1" customWidth="1"/>
    <col min="13590" max="13590" width="10" style="1" customWidth="1"/>
    <col min="13591" max="13591" width="10.5703125" style="1" customWidth="1"/>
    <col min="13592" max="13592" width="9.28515625" style="1" customWidth="1"/>
    <col min="13593" max="13593" width="8.5703125" style="1" customWidth="1"/>
    <col min="13594" max="13828" width="9.140625" style="1"/>
    <col min="13829" max="13829" width="5.85546875" style="1" customWidth="1"/>
    <col min="13830" max="13830" width="25" style="1" customWidth="1"/>
    <col min="13831" max="13831" width="10" style="1" bestFit="1" customWidth="1"/>
    <col min="13832" max="13832" width="9.85546875" style="1" customWidth="1"/>
    <col min="13833" max="13833" width="10" style="1" bestFit="1" customWidth="1"/>
    <col min="13834" max="13834" width="9.85546875" style="1" customWidth="1"/>
    <col min="13835" max="13835" width="8.140625" style="1" customWidth="1"/>
    <col min="13836" max="13837" width="8.42578125" style="1" customWidth="1"/>
    <col min="13838" max="13839" width="9" style="1" customWidth="1"/>
    <col min="13840" max="13842" width="0" style="1" hidden="1" customWidth="1"/>
    <col min="13843" max="13843" width="9.85546875" style="1" customWidth="1"/>
    <col min="13844" max="13845" width="10.5703125" style="1" customWidth="1"/>
    <col min="13846" max="13846" width="10" style="1" customWidth="1"/>
    <col min="13847" max="13847" width="10.5703125" style="1" customWidth="1"/>
    <col min="13848" max="13848" width="9.28515625" style="1" customWidth="1"/>
    <col min="13849" max="13849" width="8.5703125" style="1" customWidth="1"/>
    <col min="13850" max="14084" width="9.140625" style="1"/>
    <col min="14085" max="14085" width="5.85546875" style="1" customWidth="1"/>
    <col min="14086" max="14086" width="25" style="1" customWidth="1"/>
    <col min="14087" max="14087" width="10" style="1" bestFit="1" customWidth="1"/>
    <col min="14088" max="14088" width="9.85546875" style="1" customWidth="1"/>
    <col min="14089" max="14089" width="10" style="1" bestFit="1" customWidth="1"/>
    <col min="14090" max="14090" width="9.85546875" style="1" customWidth="1"/>
    <col min="14091" max="14091" width="8.140625" style="1" customWidth="1"/>
    <col min="14092" max="14093" width="8.42578125" style="1" customWidth="1"/>
    <col min="14094" max="14095" width="9" style="1" customWidth="1"/>
    <col min="14096" max="14098" width="0" style="1" hidden="1" customWidth="1"/>
    <col min="14099" max="14099" width="9.85546875" style="1" customWidth="1"/>
    <col min="14100" max="14101" width="10.5703125" style="1" customWidth="1"/>
    <col min="14102" max="14102" width="10" style="1" customWidth="1"/>
    <col min="14103" max="14103" width="10.5703125" style="1" customWidth="1"/>
    <col min="14104" max="14104" width="9.28515625" style="1" customWidth="1"/>
    <col min="14105" max="14105" width="8.5703125" style="1" customWidth="1"/>
    <col min="14106" max="14340" width="9.140625" style="1"/>
    <col min="14341" max="14341" width="5.85546875" style="1" customWidth="1"/>
    <col min="14342" max="14342" width="25" style="1" customWidth="1"/>
    <col min="14343" max="14343" width="10" style="1" bestFit="1" customWidth="1"/>
    <col min="14344" max="14344" width="9.85546875" style="1" customWidth="1"/>
    <col min="14345" max="14345" width="10" style="1" bestFit="1" customWidth="1"/>
    <col min="14346" max="14346" width="9.85546875" style="1" customWidth="1"/>
    <col min="14347" max="14347" width="8.140625" style="1" customWidth="1"/>
    <col min="14348" max="14349" width="8.42578125" style="1" customWidth="1"/>
    <col min="14350" max="14351" width="9" style="1" customWidth="1"/>
    <col min="14352" max="14354" width="0" style="1" hidden="1" customWidth="1"/>
    <col min="14355" max="14355" width="9.85546875" style="1" customWidth="1"/>
    <col min="14356" max="14357" width="10.5703125" style="1" customWidth="1"/>
    <col min="14358" max="14358" width="10" style="1" customWidth="1"/>
    <col min="14359" max="14359" width="10.5703125" style="1" customWidth="1"/>
    <col min="14360" max="14360" width="9.28515625" style="1" customWidth="1"/>
    <col min="14361" max="14361" width="8.5703125" style="1" customWidth="1"/>
    <col min="14362" max="14596" width="9.140625" style="1"/>
    <col min="14597" max="14597" width="5.85546875" style="1" customWidth="1"/>
    <col min="14598" max="14598" width="25" style="1" customWidth="1"/>
    <col min="14599" max="14599" width="10" style="1" bestFit="1" customWidth="1"/>
    <col min="14600" max="14600" width="9.85546875" style="1" customWidth="1"/>
    <col min="14601" max="14601" width="10" style="1" bestFit="1" customWidth="1"/>
    <col min="14602" max="14602" width="9.85546875" style="1" customWidth="1"/>
    <col min="14603" max="14603" width="8.140625" style="1" customWidth="1"/>
    <col min="14604" max="14605" width="8.42578125" style="1" customWidth="1"/>
    <col min="14606" max="14607" width="9" style="1" customWidth="1"/>
    <col min="14608" max="14610" width="0" style="1" hidden="1" customWidth="1"/>
    <col min="14611" max="14611" width="9.85546875" style="1" customWidth="1"/>
    <col min="14612" max="14613" width="10.5703125" style="1" customWidth="1"/>
    <col min="14614" max="14614" width="10" style="1" customWidth="1"/>
    <col min="14615" max="14615" width="10.5703125" style="1" customWidth="1"/>
    <col min="14616" max="14616" width="9.28515625" style="1" customWidth="1"/>
    <col min="14617" max="14617" width="8.5703125" style="1" customWidth="1"/>
    <col min="14618" max="14852" width="9.140625" style="1"/>
    <col min="14853" max="14853" width="5.85546875" style="1" customWidth="1"/>
    <col min="14854" max="14854" width="25" style="1" customWidth="1"/>
    <col min="14855" max="14855" width="10" style="1" bestFit="1" customWidth="1"/>
    <col min="14856" max="14856" width="9.85546875" style="1" customWidth="1"/>
    <col min="14857" max="14857" width="10" style="1" bestFit="1" customWidth="1"/>
    <col min="14858" max="14858" width="9.85546875" style="1" customWidth="1"/>
    <col min="14859" max="14859" width="8.140625" style="1" customWidth="1"/>
    <col min="14860" max="14861" width="8.42578125" style="1" customWidth="1"/>
    <col min="14862" max="14863" width="9" style="1" customWidth="1"/>
    <col min="14864" max="14866" width="0" style="1" hidden="1" customWidth="1"/>
    <col min="14867" max="14867" width="9.85546875" style="1" customWidth="1"/>
    <col min="14868" max="14869" width="10.5703125" style="1" customWidth="1"/>
    <col min="14870" max="14870" width="10" style="1" customWidth="1"/>
    <col min="14871" max="14871" width="10.5703125" style="1" customWidth="1"/>
    <col min="14872" max="14872" width="9.28515625" style="1" customWidth="1"/>
    <col min="14873" max="14873" width="8.5703125" style="1" customWidth="1"/>
    <col min="14874" max="15108" width="9.140625" style="1"/>
    <col min="15109" max="15109" width="5.85546875" style="1" customWidth="1"/>
    <col min="15110" max="15110" width="25" style="1" customWidth="1"/>
    <col min="15111" max="15111" width="10" style="1" bestFit="1" customWidth="1"/>
    <col min="15112" max="15112" width="9.85546875" style="1" customWidth="1"/>
    <col min="15113" max="15113" width="10" style="1" bestFit="1" customWidth="1"/>
    <col min="15114" max="15114" width="9.85546875" style="1" customWidth="1"/>
    <col min="15115" max="15115" width="8.140625" style="1" customWidth="1"/>
    <col min="15116" max="15117" width="8.42578125" style="1" customWidth="1"/>
    <col min="15118" max="15119" width="9" style="1" customWidth="1"/>
    <col min="15120" max="15122" width="0" style="1" hidden="1" customWidth="1"/>
    <col min="15123" max="15123" width="9.85546875" style="1" customWidth="1"/>
    <col min="15124" max="15125" width="10.5703125" style="1" customWidth="1"/>
    <col min="15126" max="15126" width="10" style="1" customWidth="1"/>
    <col min="15127" max="15127" width="10.5703125" style="1" customWidth="1"/>
    <col min="15128" max="15128" width="9.28515625" style="1" customWidth="1"/>
    <col min="15129" max="15129" width="8.5703125" style="1" customWidth="1"/>
    <col min="15130" max="15364" width="9.140625" style="1"/>
    <col min="15365" max="15365" width="5.85546875" style="1" customWidth="1"/>
    <col min="15366" max="15366" width="25" style="1" customWidth="1"/>
    <col min="15367" max="15367" width="10" style="1" bestFit="1" customWidth="1"/>
    <col min="15368" max="15368" width="9.85546875" style="1" customWidth="1"/>
    <col min="15369" max="15369" width="10" style="1" bestFit="1" customWidth="1"/>
    <col min="15370" max="15370" width="9.85546875" style="1" customWidth="1"/>
    <col min="15371" max="15371" width="8.140625" style="1" customWidth="1"/>
    <col min="15372" max="15373" width="8.42578125" style="1" customWidth="1"/>
    <col min="15374" max="15375" width="9" style="1" customWidth="1"/>
    <col min="15376" max="15378" width="0" style="1" hidden="1" customWidth="1"/>
    <col min="15379" max="15379" width="9.85546875" style="1" customWidth="1"/>
    <col min="15380" max="15381" width="10.5703125" style="1" customWidth="1"/>
    <col min="15382" max="15382" width="10" style="1" customWidth="1"/>
    <col min="15383" max="15383" width="10.5703125" style="1" customWidth="1"/>
    <col min="15384" max="15384" width="9.28515625" style="1" customWidth="1"/>
    <col min="15385" max="15385" width="8.5703125" style="1" customWidth="1"/>
    <col min="15386" max="15620" width="9.140625" style="1"/>
    <col min="15621" max="15621" width="5.85546875" style="1" customWidth="1"/>
    <col min="15622" max="15622" width="25" style="1" customWidth="1"/>
    <col min="15623" max="15623" width="10" style="1" bestFit="1" customWidth="1"/>
    <col min="15624" max="15624" width="9.85546875" style="1" customWidth="1"/>
    <col min="15625" max="15625" width="10" style="1" bestFit="1" customWidth="1"/>
    <col min="15626" max="15626" width="9.85546875" style="1" customWidth="1"/>
    <col min="15627" max="15627" width="8.140625" style="1" customWidth="1"/>
    <col min="15628" max="15629" width="8.42578125" style="1" customWidth="1"/>
    <col min="15630" max="15631" width="9" style="1" customWidth="1"/>
    <col min="15632" max="15634" width="0" style="1" hidden="1" customWidth="1"/>
    <col min="15635" max="15635" width="9.85546875" style="1" customWidth="1"/>
    <col min="15636" max="15637" width="10.5703125" style="1" customWidth="1"/>
    <col min="15638" max="15638" width="10" style="1" customWidth="1"/>
    <col min="15639" max="15639" width="10.5703125" style="1" customWidth="1"/>
    <col min="15640" max="15640" width="9.28515625" style="1" customWidth="1"/>
    <col min="15641" max="15641" width="8.5703125" style="1" customWidth="1"/>
    <col min="15642" max="15876" width="9.140625" style="1"/>
    <col min="15877" max="15877" width="5.85546875" style="1" customWidth="1"/>
    <col min="15878" max="15878" width="25" style="1" customWidth="1"/>
    <col min="15879" max="15879" width="10" style="1" bestFit="1" customWidth="1"/>
    <col min="15880" max="15880" width="9.85546875" style="1" customWidth="1"/>
    <col min="15881" max="15881" width="10" style="1" bestFit="1" customWidth="1"/>
    <col min="15882" max="15882" width="9.85546875" style="1" customWidth="1"/>
    <col min="15883" max="15883" width="8.140625" style="1" customWidth="1"/>
    <col min="15884" max="15885" width="8.42578125" style="1" customWidth="1"/>
    <col min="15886" max="15887" width="9" style="1" customWidth="1"/>
    <col min="15888" max="15890" width="0" style="1" hidden="1" customWidth="1"/>
    <col min="15891" max="15891" width="9.85546875" style="1" customWidth="1"/>
    <col min="15892" max="15893" width="10.5703125" style="1" customWidth="1"/>
    <col min="15894" max="15894" width="10" style="1" customWidth="1"/>
    <col min="15895" max="15895" width="10.5703125" style="1" customWidth="1"/>
    <col min="15896" max="15896" width="9.28515625" style="1" customWidth="1"/>
    <col min="15897" max="15897" width="8.5703125" style="1" customWidth="1"/>
    <col min="15898" max="16132" width="9.140625" style="1"/>
    <col min="16133" max="16133" width="5.85546875" style="1" customWidth="1"/>
    <col min="16134" max="16134" width="25" style="1" customWidth="1"/>
    <col min="16135" max="16135" width="10" style="1" bestFit="1" customWidth="1"/>
    <col min="16136" max="16136" width="9.85546875" style="1" customWidth="1"/>
    <col min="16137" max="16137" width="10" style="1" bestFit="1" customWidth="1"/>
    <col min="16138" max="16138" width="9.85546875" style="1" customWidth="1"/>
    <col min="16139" max="16139" width="8.140625" style="1" customWidth="1"/>
    <col min="16140" max="16141" width="8.42578125" style="1" customWidth="1"/>
    <col min="16142" max="16143" width="9" style="1" customWidth="1"/>
    <col min="16144" max="16146" width="0" style="1" hidden="1" customWidth="1"/>
    <col min="16147" max="16147" width="9.85546875" style="1" customWidth="1"/>
    <col min="16148" max="16149" width="10.5703125" style="1" customWidth="1"/>
    <col min="16150" max="16150" width="10" style="1" customWidth="1"/>
    <col min="16151" max="16151" width="10.5703125" style="1" customWidth="1"/>
    <col min="16152" max="16152" width="9.28515625" style="1" customWidth="1"/>
    <col min="16153" max="16153" width="8.5703125" style="1" customWidth="1"/>
    <col min="16154" max="16384" width="9.140625" style="1"/>
  </cols>
  <sheetData>
    <row r="1" spans="1:25" hidden="1" x14ac:dyDescent="0.2">
      <c r="A1" s="1" t="s">
        <v>0</v>
      </c>
    </row>
    <row r="2" spans="1:25" hidden="1" x14ac:dyDescent="0.2">
      <c r="A2" s="9" t="s">
        <v>1</v>
      </c>
      <c r="B2" s="9"/>
    </row>
    <row r="3" spans="1:25" x14ac:dyDescent="0.2">
      <c r="A3" s="10"/>
      <c r="B3" s="10" t="s">
        <v>2</v>
      </c>
    </row>
    <row r="4" spans="1:25" ht="15" customHeight="1" x14ac:dyDescent="0.2">
      <c r="A4" s="11" t="s">
        <v>3</v>
      </c>
      <c r="B4" s="11"/>
      <c r="C4" s="12"/>
      <c r="D4" s="13"/>
      <c r="E4" s="13"/>
      <c r="F4" s="13"/>
      <c r="G4" s="13"/>
      <c r="H4" s="13"/>
      <c r="I4" s="14"/>
      <c r="N4" s="768"/>
      <c r="O4" s="768"/>
    </row>
    <row r="5" spans="1:25" ht="15" customHeight="1" x14ac:dyDescent="0.2">
      <c r="A5" s="769" t="s">
        <v>4</v>
      </c>
      <c r="B5" s="769"/>
      <c r="C5" s="769"/>
      <c r="D5" s="769"/>
      <c r="E5" s="769"/>
      <c r="F5" s="769"/>
      <c r="G5" s="769"/>
      <c r="H5" s="769"/>
      <c r="I5" s="769"/>
      <c r="J5" s="8"/>
      <c r="K5" s="8"/>
      <c r="L5" s="8"/>
      <c r="M5" s="8"/>
      <c r="N5" s="8"/>
      <c r="O5" s="8"/>
      <c r="P5" s="8"/>
      <c r="Q5" s="5"/>
      <c r="R5" s="5"/>
    </row>
    <row r="6" spans="1:25" ht="15" customHeight="1" x14ac:dyDescent="0.2">
      <c r="A6" s="15" t="s">
        <v>5</v>
      </c>
      <c r="B6" s="15"/>
      <c r="C6" s="16"/>
      <c r="D6" s="17"/>
      <c r="E6" s="17"/>
      <c r="F6" s="17"/>
      <c r="G6" s="17"/>
      <c r="H6" s="17"/>
      <c r="I6" s="18"/>
      <c r="J6" s="770" t="s">
        <v>113</v>
      </c>
      <c r="K6" s="771"/>
      <c r="L6" s="771"/>
      <c r="M6" s="771"/>
      <c r="N6" s="771"/>
      <c r="O6" s="771"/>
      <c r="P6" s="771"/>
      <c r="Q6" s="771"/>
      <c r="R6" s="771"/>
      <c r="S6" s="771"/>
      <c r="T6" s="771"/>
      <c r="U6" s="771"/>
      <c r="V6" s="771"/>
      <c r="W6" s="771"/>
      <c r="X6" s="771"/>
      <c r="Y6" s="771"/>
    </row>
    <row r="7" spans="1:25" ht="12" thickBot="1" x14ac:dyDescent="0.25">
      <c r="A7" s="19"/>
      <c r="B7" s="19"/>
    </row>
    <row r="8" spans="1:25" ht="13.9" customHeight="1" thickBot="1" x14ac:dyDescent="0.25">
      <c r="A8" s="20"/>
      <c r="B8" s="21"/>
      <c r="C8" s="22"/>
      <c r="D8" s="23"/>
      <c r="E8" s="24"/>
      <c r="F8" s="25"/>
      <c r="G8" s="25"/>
      <c r="H8" s="358"/>
      <c r="I8" s="772" t="s">
        <v>112</v>
      </c>
      <c r="J8" s="773"/>
      <c r="K8" s="773"/>
      <c r="L8" s="773"/>
      <c r="M8" s="773"/>
      <c r="N8" s="773"/>
      <c r="O8" s="773"/>
      <c r="P8" s="773"/>
      <c r="Q8" s="773"/>
      <c r="R8" s="773"/>
      <c r="S8" s="774"/>
      <c r="T8" s="772" t="s">
        <v>111</v>
      </c>
      <c r="U8" s="773"/>
      <c r="V8" s="773"/>
      <c r="W8" s="773"/>
      <c r="X8" s="773"/>
      <c r="Y8" s="774"/>
    </row>
    <row r="9" spans="1:25" ht="46.5" customHeight="1" x14ac:dyDescent="0.2">
      <c r="A9" s="26"/>
      <c r="B9" s="27" t="s">
        <v>6</v>
      </c>
      <c r="C9" s="28" t="s">
        <v>7</v>
      </c>
      <c r="D9" s="29" t="s">
        <v>8</v>
      </c>
      <c r="E9" s="30" t="s">
        <v>9</v>
      </c>
      <c r="F9" s="30" t="s">
        <v>10</v>
      </c>
      <c r="G9" s="30" t="s">
        <v>11</v>
      </c>
      <c r="H9" s="351" t="s">
        <v>104</v>
      </c>
      <c r="I9" s="352" t="s">
        <v>105</v>
      </c>
      <c r="J9" s="31" t="s">
        <v>12</v>
      </c>
      <c r="K9" s="31" t="s">
        <v>13</v>
      </c>
      <c r="L9" s="31" t="s">
        <v>14</v>
      </c>
      <c r="M9" s="31" t="s">
        <v>15</v>
      </c>
      <c r="N9" s="32" t="s">
        <v>16</v>
      </c>
      <c r="O9" s="33" t="s">
        <v>17</v>
      </c>
      <c r="P9" s="31" t="s">
        <v>18</v>
      </c>
      <c r="Q9" s="31" t="s">
        <v>19</v>
      </c>
      <c r="R9" s="34"/>
      <c r="S9" s="35" t="s">
        <v>106</v>
      </c>
      <c r="T9" s="30" t="s">
        <v>108</v>
      </c>
      <c r="U9" s="36" t="s">
        <v>109</v>
      </c>
      <c r="V9" s="37" t="s">
        <v>20</v>
      </c>
      <c r="W9" s="38" t="s">
        <v>21</v>
      </c>
      <c r="X9" s="39" t="s">
        <v>22</v>
      </c>
      <c r="Y9" s="40" t="s">
        <v>110</v>
      </c>
    </row>
    <row r="10" spans="1:25" x14ac:dyDescent="0.2">
      <c r="A10" s="41">
        <v>1</v>
      </c>
      <c r="B10" s="42">
        <v>2</v>
      </c>
      <c r="C10" s="43">
        <v>3</v>
      </c>
      <c r="D10" s="44">
        <v>4</v>
      </c>
      <c r="E10" s="45">
        <v>5</v>
      </c>
      <c r="F10" s="45">
        <v>6</v>
      </c>
      <c r="G10" s="45">
        <v>7</v>
      </c>
      <c r="H10" s="359">
        <v>8</v>
      </c>
      <c r="I10" s="353">
        <v>9</v>
      </c>
      <c r="J10" s="46">
        <v>10</v>
      </c>
      <c r="K10" s="46">
        <v>11</v>
      </c>
      <c r="L10" s="46">
        <v>12</v>
      </c>
      <c r="M10" s="46">
        <v>13</v>
      </c>
      <c r="N10" s="47">
        <v>14</v>
      </c>
      <c r="O10" s="48">
        <v>15</v>
      </c>
      <c r="P10" s="46" t="s">
        <v>23</v>
      </c>
      <c r="Q10" s="49" t="s">
        <v>24</v>
      </c>
      <c r="R10" s="50"/>
      <c r="S10" s="51">
        <v>16</v>
      </c>
      <c r="T10" s="45">
        <v>17</v>
      </c>
      <c r="U10" s="48">
        <v>18</v>
      </c>
      <c r="V10" s="52">
        <v>19</v>
      </c>
      <c r="W10" s="53">
        <v>20</v>
      </c>
      <c r="X10" s="54">
        <v>21</v>
      </c>
      <c r="Y10" s="55">
        <v>22</v>
      </c>
    </row>
    <row r="11" spans="1:25" ht="12.2" customHeight="1" x14ac:dyDescent="0.2">
      <c r="A11" s="56">
        <v>3111</v>
      </c>
      <c r="B11" s="57" t="s">
        <v>25</v>
      </c>
      <c r="C11" s="58">
        <v>4873839.6500000004</v>
      </c>
      <c r="D11" s="59">
        <v>4862351.7</v>
      </c>
      <c r="E11" s="60">
        <v>4961976.09</v>
      </c>
      <c r="F11" s="60">
        <v>4911774.37</v>
      </c>
      <c r="G11" s="60">
        <v>4699905.21</v>
      </c>
      <c r="H11" s="354">
        <v>4731182.93</v>
      </c>
      <c r="I11" s="61">
        <v>2967060</v>
      </c>
      <c r="J11" s="62">
        <f>N11*0.57</f>
        <v>1198675.7999999998</v>
      </c>
      <c r="K11" s="62">
        <f>N11*0.23</f>
        <v>483676.2</v>
      </c>
      <c r="L11" s="62">
        <f>N11*0.14</f>
        <v>294411.60000000003</v>
      </c>
      <c r="M11" s="62">
        <f>N11*0.06</f>
        <v>126176.4</v>
      </c>
      <c r="N11" s="63">
        <f>S11-I11-O11</f>
        <v>2102940</v>
      </c>
      <c r="O11" s="64">
        <v>0</v>
      </c>
      <c r="P11" s="62">
        <v>5253000</v>
      </c>
      <c r="Q11" s="65">
        <v>5410000</v>
      </c>
      <c r="R11" s="66">
        <f>1647219+1242640+1075766+968470</f>
        <v>4934095</v>
      </c>
      <c r="S11" s="67">
        <v>5070000</v>
      </c>
      <c r="T11" s="60">
        <v>4856929.17</v>
      </c>
      <c r="U11" s="68">
        <v>8484.31</v>
      </c>
      <c r="V11" s="69">
        <f>I11</f>
        <v>2967060</v>
      </c>
      <c r="W11" s="70">
        <f>T11-U11-V11</f>
        <v>1881384.8600000003</v>
      </c>
      <c r="X11" s="71">
        <f>T11/S11*100</f>
        <v>95.797419526627209</v>
      </c>
      <c r="Y11" s="72">
        <f>T11/H11*100</f>
        <v>102.65781817909966</v>
      </c>
    </row>
    <row r="12" spans="1:25" ht="12.2" customHeight="1" x14ac:dyDescent="0.2">
      <c r="A12" s="73">
        <v>311</v>
      </c>
      <c r="B12" s="74" t="s">
        <v>26</v>
      </c>
      <c r="C12" s="75">
        <f t="shared" ref="C12:G12" si="0">C11</f>
        <v>4873839.6500000004</v>
      </c>
      <c r="D12" s="76">
        <f t="shared" si="0"/>
        <v>4862351.7</v>
      </c>
      <c r="E12" s="77">
        <f t="shared" si="0"/>
        <v>4961976.09</v>
      </c>
      <c r="F12" s="77">
        <f t="shared" si="0"/>
        <v>4911774.37</v>
      </c>
      <c r="G12" s="77">
        <f t="shared" si="0"/>
        <v>4699905.21</v>
      </c>
      <c r="H12" s="355">
        <v>4731182.93</v>
      </c>
      <c r="I12" s="78">
        <f t="shared" ref="I12:Q12" si="1">I11</f>
        <v>2967060</v>
      </c>
      <c r="J12" s="79">
        <f t="shared" si="1"/>
        <v>1198675.7999999998</v>
      </c>
      <c r="K12" s="79">
        <f t="shared" si="1"/>
        <v>483676.2</v>
      </c>
      <c r="L12" s="79">
        <f t="shared" si="1"/>
        <v>294411.60000000003</v>
      </c>
      <c r="M12" s="79">
        <f t="shared" si="1"/>
        <v>126176.4</v>
      </c>
      <c r="N12" s="80">
        <f t="shared" si="1"/>
        <v>2102940</v>
      </c>
      <c r="O12" s="81">
        <f t="shared" si="1"/>
        <v>0</v>
      </c>
      <c r="P12" s="82">
        <f t="shared" si="1"/>
        <v>5253000</v>
      </c>
      <c r="Q12" s="83">
        <f t="shared" si="1"/>
        <v>5410000</v>
      </c>
      <c r="R12" s="84"/>
      <c r="S12" s="85">
        <f>S11</f>
        <v>5070000</v>
      </c>
      <c r="T12" s="77">
        <f>T11</f>
        <v>4856929.17</v>
      </c>
      <c r="U12" s="86">
        <f>U11</f>
        <v>8484.31</v>
      </c>
      <c r="V12" s="87">
        <f t="shared" ref="V12" si="2">V11</f>
        <v>2967060</v>
      </c>
      <c r="W12" s="88">
        <f>W11</f>
        <v>1881384.8600000003</v>
      </c>
      <c r="X12" s="89">
        <f t="shared" ref="X12:X61" si="3">T12/S12*100</f>
        <v>95.797419526627209</v>
      </c>
      <c r="Y12" s="90">
        <f>Y11</f>
        <v>102.65781817909966</v>
      </c>
    </row>
    <row r="13" spans="1:25" ht="12.2" customHeight="1" x14ac:dyDescent="0.2">
      <c r="A13" s="56">
        <v>3131</v>
      </c>
      <c r="B13" s="57" t="s">
        <v>27</v>
      </c>
      <c r="C13" s="58">
        <v>381306.58</v>
      </c>
      <c r="D13" s="59">
        <v>377284.75</v>
      </c>
      <c r="E13" s="60">
        <v>378056.32</v>
      </c>
      <c r="F13" s="60">
        <v>374377.13</v>
      </c>
      <c r="G13" s="60">
        <v>355760.77</v>
      </c>
      <c r="H13" s="356">
        <v>358501.09</v>
      </c>
      <c r="I13" s="91">
        <v>241730</v>
      </c>
      <c r="J13" s="62">
        <f>N13*0.57</f>
        <v>87363.9</v>
      </c>
      <c r="K13" s="62">
        <f>N13*0.23</f>
        <v>35252.1</v>
      </c>
      <c r="L13" s="62">
        <f>N13*0.14</f>
        <v>21457.800000000003</v>
      </c>
      <c r="M13" s="62">
        <f>N13*0.06</f>
        <v>9196.1999999999989</v>
      </c>
      <c r="N13" s="63">
        <f>S13-I13-O13</f>
        <v>153270</v>
      </c>
      <c r="O13" s="64">
        <v>0</v>
      </c>
      <c r="P13" s="62">
        <v>412000</v>
      </c>
      <c r="Q13" s="65">
        <v>424000</v>
      </c>
      <c r="R13" s="66"/>
      <c r="S13" s="92">
        <v>395000</v>
      </c>
      <c r="T13" s="60">
        <v>368006.16</v>
      </c>
      <c r="U13" s="68">
        <v>0</v>
      </c>
      <c r="V13" s="69">
        <f>I13</f>
        <v>241730</v>
      </c>
      <c r="W13" s="70">
        <f>T13-U13-V13</f>
        <v>126276.15999999997</v>
      </c>
      <c r="X13" s="71">
        <f t="shared" si="3"/>
        <v>93.166116455696198</v>
      </c>
      <c r="Y13" s="72">
        <f>T13/H13*100</f>
        <v>102.65133642968837</v>
      </c>
    </row>
    <row r="14" spans="1:25" ht="12.2" customHeight="1" x14ac:dyDescent="0.2">
      <c r="A14" s="56">
        <v>3132</v>
      </c>
      <c r="B14" s="93" t="s">
        <v>28</v>
      </c>
      <c r="C14" s="58">
        <v>757099.11</v>
      </c>
      <c r="D14" s="59">
        <v>730720.11</v>
      </c>
      <c r="E14" s="60">
        <v>738559.41</v>
      </c>
      <c r="F14" s="60">
        <v>762291.98</v>
      </c>
      <c r="G14" s="60">
        <v>728043.93</v>
      </c>
      <c r="H14" s="356">
        <v>724318.42</v>
      </c>
      <c r="I14" s="91">
        <v>508720</v>
      </c>
      <c r="J14" s="62">
        <f>N14*0.57</f>
        <v>166029.59999999998</v>
      </c>
      <c r="K14" s="62">
        <f>N14*0.23</f>
        <v>66994.400000000009</v>
      </c>
      <c r="L14" s="62">
        <f>N14*0.14</f>
        <v>40779.200000000004</v>
      </c>
      <c r="M14" s="62">
        <f>N14*0.06</f>
        <v>17476.8</v>
      </c>
      <c r="N14" s="63">
        <f>S14-I14-O14</f>
        <v>291280</v>
      </c>
      <c r="O14" s="64">
        <v>0</v>
      </c>
      <c r="P14" s="62">
        <v>814200</v>
      </c>
      <c r="Q14" s="65">
        <v>838600</v>
      </c>
      <c r="R14" s="66"/>
      <c r="S14" s="92">
        <v>800000</v>
      </c>
      <c r="T14" s="60">
        <v>758982.28</v>
      </c>
      <c r="U14" s="68">
        <v>0</v>
      </c>
      <c r="V14" s="69">
        <f>I14</f>
        <v>508720</v>
      </c>
      <c r="W14" s="70">
        <f>T14-U14-V14</f>
        <v>250262.28000000003</v>
      </c>
      <c r="X14" s="71">
        <f t="shared" si="3"/>
        <v>94.872785000000007</v>
      </c>
      <c r="Y14" s="72">
        <f t="shared" ref="Y14:Y61" si="4">T14/H14*100</f>
        <v>104.78572117494956</v>
      </c>
    </row>
    <row r="15" spans="1:25" ht="12.2" customHeight="1" x14ac:dyDescent="0.2">
      <c r="A15" s="56">
        <v>3133</v>
      </c>
      <c r="B15" s="57" t="s">
        <v>29</v>
      </c>
      <c r="C15" s="58">
        <v>83036.72</v>
      </c>
      <c r="D15" s="59">
        <v>80143.539999999994</v>
      </c>
      <c r="E15" s="60">
        <v>81003.12</v>
      </c>
      <c r="F15" s="60">
        <v>6442.51</v>
      </c>
      <c r="G15" s="60">
        <v>0</v>
      </c>
      <c r="H15" s="356">
        <v>0</v>
      </c>
      <c r="I15" s="91">
        <v>0</v>
      </c>
      <c r="J15" s="62">
        <v>0</v>
      </c>
      <c r="K15" s="62">
        <v>0</v>
      </c>
      <c r="L15" s="62">
        <v>0</v>
      </c>
      <c r="M15" s="62">
        <v>0</v>
      </c>
      <c r="N15" s="63">
        <f>S15-I15-O15</f>
        <v>0</v>
      </c>
      <c r="O15" s="64">
        <v>0</v>
      </c>
      <c r="P15" s="62">
        <v>89300</v>
      </c>
      <c r="Q15" s="65">
        <v>92000</v>
      </c>
      <c r="R15" s="66"/>
      <c r="S15" s="92">
        <v>0</v>
      </c>
      <c r="T15" s="60">
        <v>0</v>
      </c>
      <c r="U15" s="68">
        <v>0</v>
      </c>
      <c r="V15" s="69">
        <f>I15</f>
        <v>0</v>
      </c>
      <c r="W15" s="70">
        <f>T15-U15-V15</f>
        <v>0</v>
      </c>
      <c r="X15" s="71">
        <v>0</v>
      </c>
      <c r="Y15" s="72">
        <v>0</v>
      </c>
    </row>
    <row r="16" spans="1:25" ht="12.2" customHeight="1" x14ac:dyDescent="0.2">
      <c r="A16" s="73">
        <v>313</v>
      </c>
      <c r="B16" s="74" t="s">
        <v>30</v>
      </c>
      <c r="C16" s="75">
        <f t="shared" ref="C16:G16" si="5">SUM(C13:C15)</f>
        <v>1221442.4099999999</v>
      </c>
      <c r="D16" s="76">
        <f t="shared" si="5"/>
        <v>1188148.3999999999</v>
      </c>
      <c r="E16" s="77">
        <f t="shared" si="5"/>
        <v>1197618.8500000001</v>
      </c>
      <c r="F16" s="77">
        <f t="shared" si="5"/>
        <v>1143111.6199999999</v>
      </c>
      <c r="G16" s="77">
        <f t="shared" si="5"/>
        <v>1083804.7000000002</v>
      </c>
      <c r="H16" s="355">
        <v>1082819.51</v>
      </c>
      <c r="I16" s="78">
        <f>I13+I14+I15</f>
        <v>750450</v>
      </c>
      <c r="J16" s="79">
        <f t="shared" ref="J16:Q16" si="6">SUM(J13:J15)</f>
        <v>253393.49999999997</v>
      </c>
      <c r="K16" s="79">
        <f t="shared" si="6"/>
        <v>102246.5</v>
      </c>
      <c r="L16" s="79">
        <f t="shared" si="6"/>
        <v>62237.000000000007</v>
      </c>
      <c r="M16" s="79">
        <f t="shared" si="6"/>
        <v>26673</v>
      </c>
      <c r="N16" s="80">
        <f t="shared" si="6"/>
        <v>444550</v>
      </c>
      <c r="O16" s="81">
        <f t="shared" si="6"/>
        <v>0</v>
      </c>
      <c r="P16" s="82">
        <f t="shared" si="6"/>
        <v>1315500</v>
      </c>
      <c r="Q16" s="83">
        <f t="shared" si="6"/>
        <v>1354600</v>
      </c>
      <c r="R16" s="84"/>
      <c r="S16" s="85">
        <f>SUM(S13:S15)</f>
        <v>1195000</v>
      </c>
      <c r="T16" s="77">
        <f>SUM(T13:T15)</f>
        <v>1126988.44</v>
      </c>
      <c r="U16" s="86">
        <f>SUM(U13:U15)</f>
        <v>0</v>
      </c>
      <c r="V16" s="87">
        <f t="shared" ref="V16" si="7">SUM(V13:V15)</f>
        <v>750450</v>
      </c>
      <c r="W16" s="88">
        <f>SUM(W13:W15)</f>
        <v>376538.44</v>
      </c>
      <c r="X16" s="89">
        <f t="shared" si="3"/>
        <v>94.308656066945602</v>
      </c>
      <c r="Y16" s="90">
        <f t="shared" si="4"/>
        <v>104.07906669505797</v>
      </c>
    </row>
    <row r="17" spans="1:25" ht="12.2" customHeight="1" x14ac:dyDescent="0.2">
      <c r="A17" s="56">
        <v>3121</v>
      </c>
      <c r="B17" s="93" t="s">
        <v>31</v>
      </c>
      <c r="C17" s="94">
        <v>482178.12</v>
      </c>
      <c r="D17" s="95">
        <v>594402.43999999994</v>
      </c>
      <c r="E17" s="96">
        <v>413734.88</v>
      </c>
      <c r="F17" s="96">
        <v>669362.31999999995</v>
      </c>
      <c r="G17" s="96">
        <v>684113.39</v>
      </c>
      <c r="H17" s="356">
        <v>620105.81999999995</v>
      </c>
      <c r="I17" s="91">
        <v>71620</v>
      </c>
      <c r="J17" s="62">
        <f>N17*0.57</f>
        <v>443676.6</v>
      </c>
      <c r="K17" s="62">
        <f>N17*0.23</f>
        <v>179027.4</v>
      </c>
      <c r="L17" s="62">
        <f>N17*0.14</f>
        <v>108973.20000000001</v>
      </c>
      <c r="M17" s="62">
        <f>N17*0.06</f>
        <v>46702.799999999996</v>
      </c>
      <c r="N17" s="97">
        <f>S17-I17-O17</f>
        <v>778380</v>
      </c>
      <c r="O17" s="98">
        <v>0</v>
      </c>
      <c r="P17" s="99">
        <v>499600</v>
      </c>
      <c r="Q17" s="100">
        <v>407600</v>
      </c>
      <c r="R17" s="101"/>
      <c r="S17" s="92">
        <v>850000</v>
      </c>
      <c r="T17" s="96">
        <v>802764.80000000005</v>
      </c>
      <c r="U17" s="102">
        <v>0</v>
      </c>
      <c r="V17" s="103">
        <f>I17</f>
        <v>71620</v>
      </c>
      <c r="W17" s="104">
        <f>T17-U17-V17</f>
        <v>731144.8</v>
      </c>
      <c r="X17" s="105">
        <f t="shared" si="3"/>
        <v>94.442917647058835</v>
      </c>
      <c r="Y17" s="72">
        <f t="shared" si="4"/>
        <v>129.45609831560688</v>
      </c>
    </row>
    <row r="18" spans="1:25" ht="12.2" customHeight="1" x14ac:dyDescent="0.2">
      <c r="A18" s="73">
        <v>312</v>
      </c>
      <c r="B18" s="74" t="s">
        <v>32</v>
      </c>
      <c r="C18" s="106">
        <f t="shared" ref="C18:G18" si="8">C17</f>
        <v>482178.12</v>
      </c>
      <c r="D18" s="107">
        <f t="shared" si="8"/>
        <v>594402.43999999994</v>
      </c>
      <c r="E18" s="108">
        <f t="shared" si="8"/>
        <v>413734.88</v>
      </c>
      <c r="F18" s="108">
        <f t="shared" si="8"/>
        <v>669362.31999999995</v>
      </c>
      <c r="G18" s="108">
        <f t="shared" si="8"/>
        <v>684113.39</v>
      </c>
      <c r="H18" s="355">
        <v>620105.81999999995</v>
      </c>
      <c r="I18" s="78">
        <f t="shared" ref="I18:Q18" si="9">I17</f>
        <v>71620</v>
      </c>
      <c r="J18" s="109">
        <f t="shared" si="9"/>
        <v>443676.6</v>
      </c>
      <c r="K18" s="109">
        <f t="shared" si="9"/>
        <v>179027.4</v>
      </c>
      <c r="L18" s="109">
        <f t="shared" si="9"/>
        <v>108973.20000000001</v>
      </c>
      <c r="M18" s="109">
        <f t="shared" si="9"/>
        <v>46702.799999999996</v>
      </c>
      <c r="N18" s="110">
        <f t="shared" si="9"/>
        <v>778380</v>
      </c>
      <c r="O18" s="111">
        <f t="shared" si="9"/>
        <v>0</v>
      </c>
      <c r="P18" s="112">
        <f t="shared" si="9"/>
        <v>499600</v>
      </c>
      <c r="Q18" s="113">
        <f t="shared" si="9"/>
        <v>407600</v>
      </c>
      <c r="R18" s="114"/>
      <c r="S18" s="85">
        <f>S17</f>
        <v>850000</v>
      </c>
      <c r="T18" s="108">
        <f>T17</f>
        <v>802764.80000000005</v>
      </c>
      <c r="U18" s="115">
        <f>U17</f>
        <v>0</v>
      </c>
      <c r="V18" s="116">
        <f t="shared" ref="V18" si="10">V17</f>
        <v>71620</v>
      </c>
      <c r="W18" s="117">
        <f>W17</f>
        <v>731144.8</v>
      </c>
      <c r="X18" s="118">
        <f t="shared" si="3"/>
        <v>94.442917647058835</v>
      </c>
      <c r="Y18" s="72">
        <f t="shared" si="4"/>
        <v>129.45609831560688</v>
      </c>
    </row>
    <row r="19" spans="1:25" x14ac:dyDescent="0.2">
      <c r="A19" s="119">
        <v>31</v>
      </c>
      <c r="B19" s="120" t="s">
        <v>33</v>
      </c>
      <c r="C19" s="121">
        <f t="shared" ref="C19:G19" si="11">C11+C13+C14+C15+C17</f>
        <v>6577460.1800000006</v>
      </c>
      <c r="D19" s="122">
        <f t="shared" si="11"/>
        <v>6644902.540000001</v>
      </c>
      <c r="E19" s="123">
        <f t="shared" si="11"/>
        <v>6573329.8200000003</v>
      </c>
      <c r="F19" s="123">
        <f t="shared" si="11"/>
        <v>6724248.3100000005</v>
      </c>
      <c r="G19" s="123">
        <f t="shared" si="11"/>
        <v>6467823.2999999998</v>
      </c>
      <c r="H19" s="135">
        <v>6434108.2599999998</v>
      </c>
      <c r="I19" s="124">
        <f t="shared" ref="I19:Q19" si="12">I11+I13+I14+I15+I17</f>
        <v>3789130</v>
      </c>
      <c r="J19" s="125">
        <f>J11+J13+J14+J15+J17+1</f>
        <v>1895746.9</v>
      </c>
      <c r="K19" s="125">
        <f t="shared" si="12"/>
        <v>764950.1</v>
      </c>
      <c r="L19" s="125">
        <f>L11+L13+L14+L15+L17</f>
        <v>465621.80000000005</v>
      </c>
      <c r="M19" s="125">
        <f>M11+M13+M14+M15+M17</f>
        <v>199552.19999999998</v>
      </c>
      <c r="N19" s="126">
        <f>N11+N13+N14+N15+N17</f>
        <v>3325870</v>
      </c>
      <c r="O19" s="127">
        <f t="shared" si="12"/>
        <v>0</v>
      </c>
      <c r="P19" s="128">
        <f t="shared" si="12"/>
        <v>7068100</v>
      </c>
      <c r="Q19" s="129">
        <f t="shared" si="12"/>
        <v>7172200</v>
      </c>
      <c r="R19" s="130"/>
      <c r="S19" s="85">
        <f>S11+S13+S14+S15+S17</f>
        <v>7115000</v>
      </c>
      <c r="T19" s="123">
        <f>T11+T13+T14+T15+T17</f>
        <v>6786682.4100000001</v>
      </c>
      <c r="U19" s="131">
        <f>U11+U13+U14+U15+U17</f>
        <v>8484.31</v>
      </c>
      <c r="V19" s="132">
        <f t="shared" ref="V19" si="13">V11+V13+V14+V15+V17</f>
        <v>3789130</v>
      </c>
      <c r="W19" s="133">
        <f>W11+W13+W14+W15+W17</f>
        <v>2989068.1000000006</v>
      </c>
      <c r="X19" s="134">
        <f t="shared" si="3"/>
        <v>95.38555741391427</v>
      </c>
      <c r="Y19" s="135">
        <f t="shared" si="4"/>
        <v>105.47976713714793</v>
      </c>
    </row>
    <row r="20" spans="1:25" ht="12.2" customHeight="1" x14ac:dyDescent="0.2">
      <c r="A20" s="56">
        <v>3211</v>
      </c>
      <c r="B20" s="57" t="s">
        <v>34</v>
      </c>
      <c r="C20" s="136">
        <v>2017.57</v>
      </c>
      <c r="D20" s="137">
        <v>8833.02</v>
      </c>
      <c r="E20" s="138">
        <v>19050.52</v>
      </c>
      <c r="F20" s="138">
        <v>9861.84</v>
      </c>
      <c r="G20" s="138">
        <v>480</v>
      </c>
      <c r="H20" s="356">
        <v>23040</v>
      </c>
      <c r="I20" s="91">
        <v>0</v>
      </c>
      <c r="J20" s="139">
        <f>N20*0.57</f>
        <v>14249.999999999998</v>
      </c>
      <c r="K20" s="139">
        <f>N20*0.23</f>
        <v>5750</v>
      </c>
      <c r="L20" s="139">
        <f>N20*0.14</f>
        <v>3500.0000000000005</v>
      </c>
      <c r="M20" s="139">
        <f>N20*0.06</f>
        <v>1500</v>
      </c>
      <c r="N20" s="140">
        <f>S20-I20-O20</f>
        <v>25000</v>
      </c>
      <c r="O20" s="141">
        <v>0</v>
      </c>
      <c r="P20" s="139">
        <v>15000</v>
      </c>
      <c r="Q20" s="139">
        <v>15000</v>
      </c>
      <c r="R20" s="142"/>
      <c r="S20" s="92">
        <v>25000</v>
      </c>
      <c r="T20" s="138">
        <v>11302.21</v>
      </c>
      <c r="U20" s="143">
        <v>4100</v>
      </c>
      <c r="V20" s="144">
        <f>I20</f>
        <v>0</v>
      </c>
      <c r="W20" s="145">
        <f>T20-U20-V20</f>
        <v>7202.2099999999991</v>
      </c>
      <c r="X20" s="146">
        <f t="shared" si="3"/>
        <v>45.208839999999995</v>
      </c>
      <c r="Y20" s="72">
        <f t="shared" si="4"/>
        <v>49.054730902777777</v>
      </c>
    </row>
    <row r="21" spans="1:25" ht="12.2" customHeight="1" x14ac:dyDescent="0.2">
      <c r="A21" s="56">
        <v>3212</v>
      </c>
      <c r="B21" s="93" t="s">
        <v>35</v>
      </c>
      <c r="C21" s="58">
        <v>135740.32999999999</v>
      </c>
      <c r="D21" s="59">
        <v>153130.56</v>
      </c>
      <c r="E21" s="60">
        <v>141889.81</v>
      </c>
      <c r="F21" s="60">
        <v>146370.32999999999</v>
      </c>
      <c r="G21" s="60">
        <v>140574.34</v>
      </c>
      <c r="H21" s="356">
        <v>142833.10999999999</v>
      </c>
      <c r="I21" s="91">
        <f>76189-157</f>
        <v>76032</v>
      </c>
      <c r="J21" s="62">
        <f>N21*0.57</f>
        <v>54131.759999999995</v>
      </c>
      <c r="K21" s="62">
        <f>N21*0.23</f>
        <v>21842.639999999999</v>
      </c>
      <c r="L21" s="62">
        <f>N21*0.14</f>
        <v>13295.52</v>
      </c>
      <c r="M21" s="62">
        <f>N21*0.06</f>
        <v>5698.08</v>
      </c>
      <c r="N21" s="63">
        <f>S21-I21-O21</f>
        <v>94968</v>
      </c>
      <c r="O21" s="64">
        <v>0</v>
      </c>
      <c r="P21" s="62">
        <v>143000</v>
      </c>
      <c r="Q21" s="62">
        <v>143000</v>
      </c>
      <c r="R21" s="147"/>
      <c r="S21" s="92">
        <v>171000</v>
      </c>
      <c r="T21" s="60">
        <v>161029.92000000001</v>
      </c>
      <c r="U21" s="68">
        <v>0</v>
      </c>
      <c r="V21" s="144">
        <f t="shared" ref="V21:V22" si="14">I21</f>
        <v>76032</v>
      </c>
      <c r="W21" s="70">
        <f>T21-U21-V21</f>
        <v>84997.920000000013</v>
      </c>
      <c r="X21" s="71">
        <f t="shared" si="3"/>
        <v>94.169543859649124</v>
      </c>
      <c r="Y21" s="72">
        <f t="shared" si="4"/>
        <v>112.73991023509886</v>
      </c>
    </row>
    <row r="22" spans="1:25" ht="12.2" customHeight="1" x14ac:dyDescent="0.2">
      <c r="A22" s="56">
        <v>3213</v>
      </c>
      <c r="B22" s="57" t="s">
        <v>36</v>
      </c>
      <c r="C22" s="58">
        <v>18000</v>
      </c>
      <c r="D22" s="59">
        <v>32061.19</v>
      </c>
      <c r="E22" s="60">
        <v>14442.83</v>
      </c>
      <c r="F22" s="60">
        <v>21150.799999999999</v>
      </c>
      <c r="G22" s="60">
        <v>16939.13</v>
      </c>
      <c r="H22" s="356">
        <v>30090</v>
      </c>
      <c r="I22" s="91">
        <v>0</v>
      </c>
      <c r="J22" s="62">
        <f>N22*0.57</f>
        <v>23369.999999999996</v>
      </c>
      <c r="K22" s="62">
        <f>N22*0.23</f>
        <v>9430</v>
      </c>
      <c r="L22" s="62">
        <f>N22*0.14</f>
        <v>5740.0000000000009</v>
      </c>
      <c r="M22" s="62">
        <f>N22*0.06</f>
        <v>2460</v>
      </c>
      <c r="N22" s="63">
        <f>S22-I22-O22</f>
        <v>41000</v>
      </c>
      <c r="O22" s="64">
        <v>2000</v>
      </c>
      <c r="P22" s="62">
        <v>30000</v>
      </c>
      <c r="Q22" s="62">
        <v>30000</v>
      </c>
      <c r="R22" s="147"/>
      <c r="S22" s="92">
        <v>43000</v>
      </c>
      <c r="T22" s="60">
        <v>39810</v>
      </c>
      <c r="U22" s="68">
        <v>0</v>
      </c>
      <c r="V22" s="144">
        <f t="shared" si="14"/>
        <v>0</v>
      </c>
      <c r="W22" s="70">
        <f>T22-U22-V22</f>
        <v>39810</v>
      </c>
      <c r="X22" s="71">
        <f t="shared" si="3"/>
        <v>92.581395348837219</v>
      </c>
      <c r="Y22" s="72">
        <f t="shared" si="4"/>
        <v>132.30309072781654</v>
      </c>
    </row>
    <row r="23" spans="1:25" ht="12.2" customHeight="1" x14ac:dyDescent="0.2">
      <c r="A23" s="73">
        <v>321</v>
      </c>
      <c r="B23" s="74" t="s">
        <v>37</v>
      </c>
      <c r="C23" s="75">
        <f t="shared" ref="C23:G23" si="15">SUM(C20:C22)</f>
        <v>155757.9</v>
      </c>
      <c r="D23" s="76">
        <f t="shared" si="15"/>
        <v>194024.77</v>
      </c>
      <c r="E23" s="77">
        <f t="shared" si="15"/>
        <v>175383.15999999997</v>
      </c>
      <c r="F23" s="77">
        <f t="shared" si="15"/>
        <v>177382.96999999997</v>
      </c>
      <c r="G23" s="77">
        <f t="shared" si="15"/>
        <v>157993.47</v>
      </c>
      <c r="H23" s="355">
        <v>195963.11</v>
      </c>
      <c r="I23" s="78">
        <f t="shared" ref="I23:Q23" si="16">SUM(I20:I22)</f>
        <v>76032</v>
      </c>
      <c r="J23" s="79">
        <f t="shared" si="16"/>
        <v>91751.76</v>
      </c>
      <c r="K23" s="79">
        <f t="shared" si="16"/>
        <v>37022.639999999999</v>
      </c>
      <c r="L23" s="79">
        <f t="shared" si="16"/>
        <v>22535.52</v>
      </c>
      <c r="M23" s="79">
        <f t="shared" si="16"/>
        <v>9658.08</v>
      </c>
      <c r="N23" s="80">
        <f t="shared" si="16"/>
        <v>160968</v>
      </c>
      <c r="O23" s="81">
        <f t="shared" si="16"/>
        <v>2000</v>
      </c>
      <c r="P23" s="82">
        <f t="shared" si="16"/>
        <v>188000</v>
      </c>
      <c r="Q23" s="82">
        <f t="shared" si="16"/>
        <v>188000</v>
      </c>
      <c r="R23" s="148"/>
      <c r="S23" s="85">
        <f>SUM(S20:S22)</f>
        <v>239000</v>
      </c>
      <c r="T23" s="77">
        <f>SUM(T20:T22)</f>
        <v>212142.13</v>
      </c>
      <c r="U23" s="86">
        <f>SUM(U20:U22)</f>
        <v>4100</v>
      </c>
      <c r="V23" s="87">
        <f t="shared" ref="V23" si="17">SUM(V20:V22)</f>
        <v>76032</v>
      </c>
      <c r="W23" s="88">
        <f>SUM(W20:W22)</f>
        <v>132010.13</v>
      </c>
      <c r="X23" s="89">
        <f t="shared" si="3"/>
        <v>88.762397489539751</v>
      </c>
      <c r="Y23" s="90">
        <f t="shared" si="4"/>
        <v>108.25615596731446</v>
      </c>
    </row>
    <row r="24" spans="1:25" ht="12.2" customHeight="1" x14ac:dyDescent="0.2">
      <c r="A24" s="56">
        <v>3221</v>
      </c>
      <c r="B24" s="93" t="s">
        <v>38</v>
      </c>
      <c r="C24" s="58">
        <v>82477.3</v>
      </c>
      <c r="D24" s="59">
        <v>75231.8</v>
      </c>
      <c r="E24" s="60">
        <v>71166.3</v>
      </c>
      <c r="F24" s="60">
        <v>57215.77</v>
      </c>
      <c r="G24" s="60">
        <v>53117.65</v>
      </c>
      <c r="H24" s="356">
        <v>60599.03</v>
      </c>
      <c r="I24" s="91">
        <v>30524</v>
      </c>
      <c r="J24" s="62">
        <f>N24*0.57</f>
        <v>22501.32</v>
      </c>
      <c r="K24" s="62">
        <f>N24*0.23</f>
        <v>9079.48</v>
      </c>
      <c r="L24" s="62">
        <f>N24*0.14</f>
        <v>5526.64</v>
      </c>
      <c r="M24" s="62">
        <f>N24*0.06</f>
        <v>2368.56</v>
      </c>
      <c r="N24" s="63">
        <f>S24-I24-O24</f>
        <v>39476</v>
      </c>
      <c r="O24" s="64">
        <v>0</v>
      </c>
      <c r="P24" s="62">
        <v>80000</v>
      </c>
      <c r="Q24" s="62">
        <v>80000</v>
      </c>
      <c r="R24" s="147"/>
      <c r="S24" s="92">
        <v>70000</v>
      </c>
      <c r="T24" s="60">
        <v>69713.81</v>
      </c>
      <c r="U24" s="68">
        <f>O24</f>
        <v>0</v>
      </c>
      <c r="V24" s="69">
        <f>I24</f>
        <v>30524</v>
      </c>
      <c r="W24" s="70">
        <f>T24-U24-V24</f>
        <v>39189.81</v>
      </c>
      <c r="X24" s="71">
        <f t="shared" si="3"/>
        <v>99.591157142857128</v>
      </c>
      <c r="Y24" s="72">
        <f t="shared" si="4"/>
        <v>115.04113184649984</v>
      </c>
    </row>
    <row r="25" spans="1:25" ht="12.2" customHeight="1" x14ac:dyDescent="0.2">
      <c r="A25" s="56">
        <v>3223</v>
      </c>
      <c r="B25" s="57" t="s">
        <v>39</v>
      </c>
      <c r="C25" s="58">
        <v>119413.71</v>
      </c>
      <c r="D25" s="59">
        <v>135649.54</v>
      </c>
      <c r="E25" s="60">
        <v>133853.75</v>
      </c>
      <c r="F25" s="60">
        <v>145266.51999999999</v>
      </c>
      <c r="G25" s="60">
        <v>102925.97</v>
      </c>
      <c r="H25" s="356">
        <v>138237</v>
      </c>
      <c r="I25" s="91">
        <v>110729</v>
      </c>
      <c r="J25" s="62">
        <f>N25*0.57</f>
        <v>63424.469999999994</v>
      </c>
      <c r="K25" s="62">
        <f>N25*0.23</f>
        <v>25592.33</v>
      </c>
      <c r="L25" s="62">
        <f t="shared" ref="L25:L28" si="18">N25*0.14</f>
        <v>15577.940000000002</v>
      </c>
      <c r="M25" s="62">
        <f t="shared" ref="M25:M28" si="19">N25*0.06</f>
        <v>6676.2599999999993</v>
      </c>
      <c r="N25" s="63">
        <f>S25-I25-O25</f>
        <v>111271</v>
      </c>
      <c r="O25" s="64">
        <v>0</v>
      </c>
      <c r="P25" s="62">
        <v>137000</v>
      </c>
      <c r="Q25" s="62">
        <v>137000</v>
      </c>
      <c r="R25" s="147"/>
      <c r="S25" s="92">
        <v>222000</v>
      </c>
      <c r="T25" s="60">
        <v>191826.96</v>
      </c>
      <c r="U25" s="68">
        <v>4634.67</v>
      </c>
      <c r="V25" s="69">
        <f t="shared" ref="V25:V28" si="20">I25</f>
        <v>110729</v>
      </c>
      <c r="W25" s="70">
        <f>T25-U25-V25</f>
        <v>76463.289999999979</v>
      </c>
      <c r="X25" s="71">
        <f t="shared" si="3"/>
        <v>86.408540540540528</v>
      </c>
      <c r="Y25" s="72">
        <f t="shared" si="4"/>
        <v>138.76672670847893</v>
      </c>
    </row>
    <row r="26" spans="1:25" ht="12.2" customHeight="1" x14ac:dyDescent="0.2">
      <c r="A26" s="56">
        <v>3224</v>
      </c>
      <c r="B26" s="57" t="s">
        <v>40</v>
      </c>
      <c r="C26" s="58">
        <v>0</v>
      </c>
      <c r="D26" s="59">
        <v>0</v>
      </c>
      <c r="E26" s="60">
        <v>0</v>
      </c>
      <c r="F26" s="60">
        <v>6615.87</v>
      </c>
      <c r="G26" s="60">
        <v>0</v>
      </c>
      <c r="H26" s="356">
        <v>0</v>
      </c>
      <c r="I26" s="91">
        <v>0</v>
      </c>
      <c r="J26" s="62">
        <f t="shared" ref="J26:J28" si="21">N26*0.57</f>
        <v>5699.9999999999991</v>
      </c>
      <c r="K26" s="62">
        <f t="shared" ref="K26:K28" si="22">N26*0.23</f>
        <v>2300</v>
      </c>
      <c r="L26" s="62">
        <f t="shared" si="18"/>
        <v>1400.0000000000002</v>
      </c>
      <c r="M26" s="62">
        <f t="shared" si="19"/>
        <v>600</v>
      </c>
      <c r="N26" s="63">
        <f>S26-I26-O26</f>
        <v>10000</v>
      </c>
      <c r="O26" s="64">
        <v>0</v>
      </c>
      <c r="P26" s="62"/>
      <c r="Q26" s="62"/>
      <c r="R26" s="147"/>
      <c r="S26" s="92">
        <v>10000</v>
      </c>
      <c r="T26" s="60">
        <v>9993.48</v>
      </c>
      <c r="U26" s="68">
        <f t="shared" ref="U26:U28" si="23">O26</f>
        <v>0</v>
      </c>
      <c r="V26" s="69">
        <f t="shared" si="20"/>
        <v>0</v>
      </c>
      <c r="W26" s="70">
        <f>T26-U26-V26</f>
        <v>9993.48</v>
      </c>
      <c r="X26" s="71">
        <v>0</v>
      </c>
      <c r="Y26" s="72">
        <v>0</v>
      </c>
    </row>
    <row r="27" spans="1:25" ht="12.2" customHeight="1" x14ac:dyDescent="0.2">
      <c r="A27" s="56">
        <v>3225</v>
      </c>
      <c r="B27" s="57" t="s">
        <v>41</v>
      </c>
      <c r="C27" s="58">
        <v>37751.03</v>
      </c>
      <c r="D27" s="59">
        <v>112870.46</v>
      </c>
      <c r="E27" s="60">
        <v>109536.15</v>
      </c>
      <c r="F27" s="60">
        <v>54498.04</v>
      </c>
      <c r="G27" s="60">
        <v>28224.26</v>
      </c>
      <c r="H27" s="356">
        <v>48831.22</v>
      </c>
      <c r="I27" s="91">
        <f>24375+49</f>
        <v>24424</v>
      </c>
      <c r="J27" s="62">
        <f>N27*0.57-1</f>
        <v>14577.319999999998</v>
      </c>
      <c r="K27" s="62">
        <f t="shared" si="22"/>
        <v>5882.4800000000005</v>
      </c>
      <c r="L27" s="62">
        <f t="shared" si="18"/>
        <v>3580.6400000000003</v>
      </c>
      <c r="M27" s="62">
        <f t="shared" si="19"/>
        <v>1534.56</v>
      </c>
      <c r="N27" s="63">
        <f>S27-I27-O27</f>
        <v>25576</v>
      </c>
      <c r="O27" s="64">
        <v>0</v>
      </c>
      <c r="P27" s="62">
        <v>40000</v>
      </c>
      <c r="Q27" s="62">
        <v>40000</v>
      </c>
      <c r="R27" s="147"/>
      <c r="S27" s="92">
        <v>50000</v>
      </c>
      <c r="T27" s="60">
        <v>46928.959999999999</v>
      </c>
      <c r="U27" s="68">
        <f t="shared" si="23"/>
        <v>0</v>
      </c>
      <c r="V27" s="69">
        <f t="shared" si="20"/>
        <v>24424</v>
      </c>
      <c r="W27" s="70">
        <f>T27-U27-V27</f>
        <v>22504.959999999999</v>
      </c>
      <c r="X27" s="71">
        <f t="shared" si="3"/>
        <v>93.857919999999993</v>
      </c>
      <c r="Y27" s="72">
        <f t="shared" si="4"/>
        <v>96.104418443774293</v>
      </c>
    </row>
    <row r="28" spans="1:25" ht="12.2" customHeight="1" x14ac:dyDescent="0.2">
      <c r="A28" s="56">
        <v>3227</v>
      </c>
      <c r="B28" s="57" t="s">
        <v>42</v>
      </c>
      <c r="C28" s="58">
        <v>66058.75</v>
      </c>
      <c r="D28" s="59">
        <v>162549.4</v>
      </c>
      <c r="E28" s="60">
        <v>273065.42</v>
      </c>
      <c r="F28" s="60">
        <v>263093.08</v>
      </c>
      <c r="G28" s="60">
        <v>59936.52</v>
      </c>
      <c r="H28" s="356">
        <v>74210.62</v>
      </c>
      <c r="I28" s="91">
        <v>56250</v>
      </c>
      <c r="J28" s="62">
        <f t="shared" si="21"/>
        <v>129817.49999999999</v>
      </c>
      <c r="K28" s="62">
        <f t="shared" si="22"/>
        <v>52382.5</v>
      </c>
      <c r="L28" s="62">
        <f t="shared" si="18"/>
        <v>31885.000000000004</v>
      </c>
      <c r="M28" s="62">
        <f t="shared" si="19"/>
        <v>13665</v>
      </c>
      <c r="N28" s="63">
        <f>S28-I28-O28</f>
        <v>227750</v>
      </c>
      <c r="O28" s="64">
        <v>0</v>
      </c>
      <c r="P28" s="62">
        <v>66250</v>
      </c>
      <c r="Q28" s="62">
        <v>66250</v>
      </c>
      <c r="R28" s="147"/>
      <c r="S28" s="92">
        <v>284000</v>
      </c>
      <c r="T28" s="60">
        <v>276124.09000000003</v>
      </c>
      <c r="U28" s="68">
        <f t="shared" si="23"/>
        <v>0</v>
      </c>
      <c r="V28" s="69">
        <f t="shared" si="20"/>
        <v>56250</v>
      </c>
      <c r="W28" s="70">
        <f>T28-U28-V28</f>
        <v>219874.09000000003</v>
      </c>
      <c r="X28" s="71">
        <f t="shared" si="3"/>
        <v>97.226792253521126</v>
      </c>
      <c r="Y28" s="72">
        <f t="shared" si="4"/>
        <v>372.08163737211743</v>
      </c>
    </row>
    <row r="29" spans="1:25" ht="12.2" customHeight="1" x14ac:dyDescent="0.2">
      <c r="A29" s="73">
        <v>322</v>
      </c>
      <c r="B29" s="74" t="s">
        <v>43</v>
      </c>
      <c r="C29" s="75">
        <f>SUM(C24:C28)</f>
        <v>305700.79000000004</v>
      </c>
      <c r="D29" s="76">
        <f>SUM(D24:D28)</f>
        <v>486301.20000000007</v>
      </c>
      <c r="E29" s="77">
        <f>SUM(E24:E28)</f>
        <v>587621.61999999988</v>
      </c>
      <c r="F29" s="77">
        <f>SUM(F24:F28)</f>
        <v>526689.28000000003</v>
      </c>
      <c r="G29" s="77">
        <f>SUM(G24:G28)</f>
        <v>244204.4</v>
      </c>
      <c r="H29" s="355">
        <v>321877.87</v>
      </c>
      <c r="I29" s="78">
        <f t="shared" ref="I29:Q29" si="24">SUM(I24:I28)</f>
        <v>221927</v>
      </c>
      <c r="J29" s="79">
        <f>SUM(J24:J28)</f>
        <v>236020.61</v>
      </c>
      <c r="K29" s="79">
        <f t="shared" si="24"/>
        <v>95236.790000000008</v>
      </c>
      <c r="L29" s="79">
        <f t="shared" si="24"/>
        <v>57970.22</v>
      </c>
      <c r="M29" s="79">
        <f>SUM(M24:M28)</f>
        <v>24844.379999999997</v>
      </c>
      <c r="N29" s="80">
        <f t="shared" si="24"/>
        <v>414073</v>
      </c>
      <c r="O29" s="81">
        <f t="shared" si="24"/>
        <v>0</v>
      </c>
      <c r="P29" s="82">
        <f t="shared" si="24"/>
        <v>323250</v>
      </c>
      <c r="Q29" s="82">
        <f t="shared" si="24"/>
        <v>323250</v>
      </c>
      <c r="R29" s="148"/>
      <c r="S29" s="85">
        <f>S24+S25+S26+S27+S28</f>
        <v>636000</v>
      </c>
      <c r="T29" s="77">
        <f>SUM(T24:T28)</f>
        <v>594587.30000000005</v>
      </c>
      <c r="U29" s="86">
        <f>SUM(U24:U28)</f>
        <v>4634.67</v>
      </c>
      <c r="V29" s="87">
        <f t="shared" ref="V29" si="25">SUM(V24:V28)</f>
        <v>221927</v>
      </c>
      <c r="W29" s="88">
        <f>SUM(W24:W28)</f>
        <v>368025.63</v>
      </c>
      <c r="X29" s="89">
        <f t="shared" si="3"/>
        <v>93.488569182389952</v>
      </c>
      <c r="Y29" s="90">
        <f t="shared" si="4"/>
        <v>184.72450435937085</v>
      </c>
    </row>
    <row r="30" spans="1:25" ht="12.2" customHeight="1" x14ac:dyDescent="0.2">
      <c r="A30" s="56">
        <v>3231</v>
      </c>
      <c r="B30" s="57" t="s">
        <v>44</v>
      </c>
      <c r="C30" s="58">
        <v>27198.2</v>
      </c>
      <c r="D30" s="59">
        <v>30634.84</v>
      </c>
      <c r="E30" s="60">
        <v>25097.91</v>
      </c>
      <c r="F30" s="60">
        <v>26473.68</v>
      </c>
      <c r="G30" s="60">
        <v>25260.91</v>
      </c>
      <c r="H30" s="356">
        <v>39550.01</v>
      </c>
      <c r="I30" s="91">
        <v>24655</v>
      </c>
      <c r="J30" s="62">
        <f t="shared" ref="J30:J37" si="26">N30*0.57</f>
        <v>13306.65</v>
      </c>
      <c r="K30" s="62">
        <f t="shared" ref="K30:K37" si="27">N30*0.23</f>
        <v>5369.35</v>
      </c>
      <c r="L30" s="62">
        <f t="shared" ref="L30:L37" si="28">N30*0.14</f>
        <v>3268.3</v>
      </c>
      <c r="M30" s="62">
        <f t="shared" ref="M30:M37" si="29">N30*0.06</f>
        <v>1400.7</v>
      </c>
      <c r="N30" s="63">
        <f t="shared" ref="N30:N37" si="30">S30-I30-O30</f>
        <v>23345</v>
      </c>
      <c r="O30" s="64">
        <v>0</v>
      </c>
      <c r="P30" s="62">
        <v>30700</v>
      </c>
      <c r="Q30" s="62">
        <v>30700</v>
      </c>
      <c r="R30" s="147"/>
      <c r="S30" s="92">
        <v>48000</v>
      </c>
      <c r="T30" s="60">
        <v>48782</v>
      </c>
      <c r="U30" s="68">
        <f>O30</f>
        <v>0</v>
      </c>
      <c r="V30" s="69">
        <f>I30</f>
        <v>24655</v>
      </c>
      <c r="W30" s="70">
        <f t="shared" ref="W30:W37" si="31">T30-U30-V30</f>
        <v>24127</v>
      </c>
      <c r="X30" s="71">
        <f t="shared" si="3"/>
        <v>101.62916666666666</v>
      </c>
      <c r="Y30" s="72">
        <f t="shared" si="4"/>
        <v>123.34257311186521</v>
      </c>
    </row>
    <row r="31" spans="1:25" ht="12.2" customHeight="1" x14ac:dyDescent="0.2">
      <c r="A31" s="56">
        <v>3232</v>
      </c>
      <c r="B31" s="57" t="s">
        <v>45</v>
      </c>
      <c r="C31" s="58">
        <v>190089.12</v>
      </c>
      <c r="D31" s="59">
        <v>170367.34</v>
      </c>
      <c r="E31" s="60">
        <v>206609.9</v>
      </c>
      <c r="F31" s="60">
        <v>193995.02</v>
      </c>
      <c r="G31" s="60">
        <v>118037.58</v>
      </c>
      <c r="H31" s="356">
        <v>122169.71</v>
      </c>
      <c r="I31" s="91">
        <v>37700</v>
      </c>
      <c r="J31" s="62">
        <f t="shared" si="26"/>
        <v>82251</v>
      </c>
      <c r="K31" s="62">
        <f t="shared" si="27"/>
        <v>33189</v>
      </c>
      <c r="L31" s="62">
        <f t="shared" si="28"/>
        <v>20202.000000000004</v>
      </c>
      <c r="M31" s="62">
        <f t="shared" si="29"/>
        <v>8658</v>
      </c>
      <c r="N31" s="63">
        <f t="shared" si="30"/>
        <v>144300</v>
      </c>
      <c r="O31" s="64">
        <v>0</v>
      </c>
      <c r="P31" s="62">
        <v>100000</v>
      </c>
      <c r="Q31" s="62">
        <v>100000</v>
      </c>
      <c r="R31" s="147">
        <f>9470+7144+103663+70793</f>
        <v>191070</v>
      </c>
      <c r="S31" s="92">
        <v>182000</v>
      </c>
      <c r="T31" s="60">
        <v>195104.4</v>
      </c>
      <c r="U31" s="68">
        <v>14296.88</v>
      </c>
      <c r="V31" s="69">
        <f t="shared" ref="V31:V37" si="32">I31</f>
        <v>37700</v>
      </c>
      <c r="W31" s="70">
        <f t="shared" si="31"/>
        <v>143107.51999999999</v>
      </c>
      <c r="X31" s="71">
        <f t="shared" si="3"/>
        <v>107.20021978021978</v>
      </c>
      <c r="Y31" s="72">
        <f t="shared" si="4"/>
        <v>159.69948688590648</v>
      </c>
    </row>
    <row r="32" spans="1:25" ht="12.2" customHeight="1" x14ac:dyDescent="0.2">
      <c r="A32" s="56">
        <v>3233</v>
      </c>
      <c r="B32" s="93" t="s">
        <v>46</v>
      </c>
      <c r="C32" s="58">
        <v>1250</v>
      </c>
      <c r="D32" s="59">
        <v>350</v>
      </c>
      <c r="E32" s="60">
        <v>9500</v>
      </c>
      <c r="F32" s="60">
        <v>700</v>
      </c>
      <c r="G32" s="60">
        <v>350</v>
      </c>
      <c r="H32" s="356">
        <v>2992.5</v>
      </c>
      <c r="I32" s="91">
        <v>0</v>
      </c>
      <c r="J32" s="62">
        <f>N32*0.57</f>
        <v>7979.9999999999991</v>
      </c>
      <c r="K32" s="62">
        <f>N32*0.23</f>
        <v>3220</v>
      </c>
      <c r="L32" s="62">
        <f>N32*0.14</f>
        <v>1960.0000000000002</v>
      </c>
      <c r="M32" s="62">
        <f>N32*0.06</f>
        <v>840</v>
      </c>
      <c r="N32" s="63">
        <f t="shared" si="30"/>
        <v>14000</v>
      </c>
      <c r="O32" s="64">
        <v>0</v>
      </c>
      <c r="P32" s="62">
        <v>3000</v>
      </c>
      <c r="Q32" s="62">
        <v>3000</v>
      </c>
      <c r="R32" s="147"/>
      <c r="S32" s="92">
        <v>14000</v>
      </c>
      <c r="T32" s="60">
        <v>12711</v>
      </c>
      <c r="U32" s="68">
        <f t="shared" ref="U32:U37" si="33">O32</f>
        <v>0</v>
      </c>
      <c r="V32" s="69">
        <f t="shared" si="32"/>
        <v>0</v>
      </c>
      <c r="W32" s="70">
        <f t="shared" si="31"/>
        <v>12711</v>
      </c>
      <c r="X32" s="71">
        <f t="shared" si="3"/>
        <v>90.792857142857144</v>
      </c>
      <c r="Y32" s="72">
        <f t="shared" si="4"/>
        <v>424.76190476190476</v>
      </c>
    </row>
    <row r="33" spans="1:25" ht="12.2" customHeight="1" x14ac:dyDescent="0.2">
      <c r="A33" s="56">
        <v>3234</v>
      </c>
      <c r="B33" s="57" t="s">
        <v>47</v>
      </c>
      <c r="C33" s="58">
        <v>24015.82</v>
      </c>
      <c r="D33" s="59">
        <v>22300.93</v>
      </c>
      <c r="E33" s="60">
        <v>20423.38</v>
      </c>
      <c r="F33" s="60">
        <v>19151.32</v>
      </c>
      <c r="G33" s="60">
        <v>18201.75</v>
      </c>
      <c r="H33" s="356">
        <v>18866.04</v>
      </c>
      <c r="I33" s="91">
        <v>16614</v>
      </c>
      <c r="J33" s="62">
        <f t="shared" si="26"/>
        <v>3070.0199999999995</v>
      </c>
      <c r="K33" s="62">
        <f t="shared" si="27"/>
        <v>1238.78</v>
      </c>
      <c r="L33" s="62">
        <f t="shared" si="28"/>
        <v>754.04000000000008</v>
      </c>
      <c r="M33" s="62">
        <f t="shared" si="29"/>
        <v>323.15999999999997</v>
      </c>
      <c r="N33" s="63">
        <f t="shared" si="30"/>
        <v>5386</v>
      </c>
      <c r="O33" s="64">
        <v>0</v>
      </c>
      <c r="P33" s="62">
        <v>19500</v>
      </c>
      <c r="Q33" s="62">
        <v>19500</v>
      </c>
      <c r="R33" s="147"/>
      <c r="S33" s="92">
        <v>22000</v>
      </c>
      <c r="T33" s="60">
        <v>18934.23</v>
      </c>
      <c r="U33" s="68">
        <f t="shared" si="33"/>
        <v>0</v>
      </c>
      <c r="V33" s="69">
        <f t="shared" si="32"/>
        <v>16614</v>
      </c>
      <c r="W33" s="70">
        <f t="shared" si="31"/>
        <v>2320.2299999999996</v>
      </c>
      <c r="X33" s="71">
        <f t="shared" si="3"/>
        <v>86.064681818181825</v>
      </c>
      <c r="Y33" s="72">
        <f t="shared" si="4"/>
        <v>100.36144310093691</v>
      </c>
    </row>
    <row r="34" spans="1:25" ht="12.2" customHeight="1" x14ac:dyDescent="0.2">
      <c r="A34" s="56">
        <v>3235</v>
      </c>
      <c r="B34" s="57" t="s">
        <v>48</v>
      </c>
      <c r="C34" s="58">
        <v>11000</v>
      </c>
      <c r="D34" s="59">
        <v>0</v>
      </c>
      <c r="E34" s="60">
        <v>0</v>
      </c>
      <c r="F34" s="60">
        <v>6250</v>
      </c>
      <c r="G34" s="60">
        <v>6250</v>
      </c>
      <c r="H34" s="356">
        <v>25362.5</v>
      </c>
      <c r="I34" s="91">
        <v>0</v>
      </c>
      <c r="J34" s="62">
        <f t="shared" si="26"/>
        <v>18810</v>
      </c>
      <c r="K34" s="62">
        <f t="shared" si="27"/>
        <v>7590</v>
      </c>
      <c r="L34" s="62">
        <f t="shared" si="28"/>
        <v>4620</v>
      </c>
      <c r="M34" s="62">
        <f t="shared" si="29"/>
        <v>1980</v>
      </c>
      <c r="N34" s="63">
        <f t="shared" si="30"/>
        <v>33000</v>
      </c>
      <c r="O34" s="64">
        <v>0</v>
      </c>
      <c r="P34" s="62">
        <v>12000</v>
      </c>
      <c r="Q34" s="62">
        <v>12000</v>
      </c>
      <c r="R34" s="147"/>
      <c r="S34" s="92">
        <v>33000</v>
      </c>
      <c r="T34" s="60">
        <v>31550</v>
      </c>
      <c r="U34" s="68">
        <f t="shared" si="33"/>
        <v>0</v>
      </c>
      <c r="V34" s="69">
        <f t="shared" si="32"/>
        <v>0</v>
      </c>
      <c r="W34" s="70">
        <f t="shared" si="31"/>
        <v>31550</v>
      </c>
      <c r="X34" s="71">
        <v>0</v>
      </c>
      <c r="Y34" s="72">
        <f t="shared" si="4"/>
        <v>124.3962543124692</v>
      </c>
    </row>
    <row r="35" spans="1:25" ht="12.2" customHeight="1" x14ac:dyDescent="0.2">
      <c r="A35" s="56">
        <v>3236</v>
      </c>
      <c r="B35" s="57" t="s">
        <v>49</v>
      </c>
      <c r="C35" s="58">
        <v>6085</v>
      </c>
      <c r="D35" s="59">
        <v>1455</v>
      </c>
      <c r="E35" s="60">
        <v>535</v>
      </c>
      <c r="F35" s="60">
        <v>1035</v>
      </c>
      <c r="G35" s="60">
        <v>950</v>
      </c>
      <c r="H35" s="356">
        <v>3270</v>
      </c>
      <c r="I35" s="91">
        <v>0</v>
      </c>
      <c r="J35" s="62">
        <f t="shared" si="26"/>
        <v>2849.9999999999995</v>
      </c>
      <c r="K35" s="62">
        <f t="shared" si="27"/>
        <v>1150</v>
      </c>
      <c r="L35" s="62">
        <f t="shared" si="28"/>
        <v>700.00000000000011</v>
      </c>
      <c r="M35" s="62">
        <f t="shared" si="29"/>
        <v>300</v>
      </c>
      <c r="N35" s="63">
        <f t="shared" si="30"/>
        <v>5000</v>
      </c>
      <c r="O35" s="64">
        <v>0</v>
      </c>
      <c r="P35" s="62">
        <v>1000</v>
      </c>
      <c r="Q35" s="62">
        <v>1000</v>
      </c>
      <c r="R35" s="147"/>
      <c r="S35" s="92">
        <v>5000</v>
      </c>
      <c r="T35" s="60">
        <v>2750</v>
      </c>
      <c r="U35" s="68">
        <f t="shared" si="33"/>
        <v>0</v>
      </c>
      <c r="V35" s="69">
        <f t="shared" si="32"/>
        <v>0</v>
      </c>
      <c r="W35" s="70">
        <f t="shared" si="31"/>
        <v>2750</v>
      </c>
      <c r="X35" s="71">
        <f t="shared" si="3"/>
        <v>55.000000000000007</v>
      </c>
      <c r="Y35" s="72">
        <f t="shared" si="4"/>
        <v>84.097859327217122</v>
      </c>
    </row>
    <row r="36" spans="1:25" ht="12.2" customHeight="1" x14ac:dyDescent="0.2">
      <c r="A36" s="56">
        <v>3237</v>
      </c>
      <c r="B36" s="57" t="s">
        <v>50</v>
      </c>
      <c r="C36" s="58">
        <v>36000</v>
      </c>
      <c r="D36" s="59">
        <v>48658.63</v>
      </c>
      <c r="E36" s="60">
        <v>45820</v>
      </c>
      <c r="F36" s="60">
        <v>67167.179999999993</v>
      </c>
      <c r="G36" s="60">
        <v>62004.42</v>
      </c>
      <c r="H36" s="356">
        <v>58533</v>
      </c>
      <c r="I36" s="91">
        <v>0</v>
      </c>
      <c r="J36" s="62">
        <f>N36*0.57</f>
        <v>35910</v>
      </c>
      <c r="K36" s="62">
        <f>N36*0.23</f>
        <v>14490</v>
      </c>
      <c r="L36" s="62">
        <f>N36*0.14</f>
        <v>8820</v>
      </c>
      <c r="M36" s="62">
        <f>N36*0.06</f>
        <v>3780</v>
      </c>
      <c r="N36" s="63">
        <f t="shared" si="30"/>
        <v>63000</v>
      </c>
      <c r="O36" s="64">
        <v>0</v>
      </c>
      <c r="P36" s="62">
        <v>40000</v>
      </c>
      <c r="Q36" s="62">
        <v>40000</v>
      </c>
      <c r="R36" s="147"/>
      <c r="S36" s="92">
        <v>63000</v>
      </c>
      <c r="T36" s="60">
        <v>60587.5</v>
      </c>
      <c r="U36" s="68">
        <f t="shared" si="33"/>
        <v>0</v>
      </c>
      <c r="V36" s="69">
        <f t="shared" si="32"/>
        <v>0</v>
      </c>
      <c r="W36" s="70">
        <f t="shared" si="31"/>
        <v>60587.5</v>
      </c>
      <c r="X36" s="71">
        <f t="shared" si="3"/>
        <v>96.170634920634924</v>
      </c>
      <c r="Y36" s="72">
        <f t="shared" si="4"/>
        <v>103.5099858199648</v>
      </c>
    </row>
    <row r="37" spans="1:25" ht="12.2" customHeight="1" x14ac:dyDescent="0.2">
      <c r="A37" s="56">
        <v>3239</v>
      </c>
      <c r="B37" s="93" t="s">
        <v>51</v>
      </c>
      <c r="C37" s="58">
        <v>21742.79</v>
      </c>
      <c r="D37" s="59">
        <v>16773.16</v>
      </c>
      <c r="E37" s="60">
        <v>26154.07</v>
      </c>
      <c r="F37" s="60">
        <v>24508.95</v>
      </c>
      <c r="G37" s="60">
        <v>22905.94</v>
      </c>
      <c r="H37" s="356">
        <v>34713.800000000003</v>
      </c>
      <c r="I37" s="91">
        <v>0</v>
      </c>
      <c r="J37" s="62">
        <f t="shared" si="26"/>
        <v>21090</v>
      </c>
      <c r="K37" s="62">
        <f t="shared" si="27"/>
        <v>8510</v>
      </c>
      <c r="L37" s="62">
        <f t="shared" si="28"/>
        <v>5180.0000000000009</v>
      </c>
      <c r="M37" s="62">
        <f t="shared" si="29"/>
        <v>2220</v>
      </c>
      <c r="N37" s="63">
        <f t="shared" si="30"/>
        <v>37000</v>
      </c>
      <c r="O37" s="64">
        <v>0</v>
      </c>
      <c r="P37" s="62">
        <v>19000</v>
      </c>
      <c r="Q37" s="62">
        <v>19000</v>
      </c>
      <c r="R37" s="147"/>
      <c r="S37" s="92">
        <v>37000</v>
      </c>
      <c r="T37" s="60">
        <v>23032.51</v>
      </c>
      <c r="U37" s="68">
        <f t="shared" si="33"/>
        <v>0</v>
      </c>
      <c r="V37" s="69">
        <f t="shared" si="32"/>
        <v>0</v>
      </c>
      <c r="W37" s="70">
        <f t="shared" si="31"/>
        <v>23032.51</v>
      </c>
      <c r="X37" s="71">
        <f t="shared" si="3"/>
        <v>62.250027027027024</v>
      </c>
      <c r="Y37" s="72">
        <f t="shared" si="4"/>
        <v>66.349722588711117</v>
      </c>
    </row>
    <row r="38" spans="1:25" ht="12.2" customHeight="1" x14ac:dyDescent="0.2">
      <c r="A38" s="73">
        <v>323</v>
      </c>
      <c r="B38" s="149" t="s">
        <v>52</v>
      </c>
      <c r="C38" s="75">
        <f>SUM(C30:C37)</f>
        <v>317380.93</v>
      </c>
      <c r="D38" s="76">
        <f>SUM(D30:D37)</f>
        <v>290539.89999999997</v>
      </c>
      <c r="E38" s="77">
        <f>SUM(E30:E37)</f>
        <v>334140.26</v>
      </c>
      <c r="F38" s="77">
        <f>SUM(F30:F37)</f>
        <v>339281.14999999997</v>
      </c>
      <c r="G38" s="77">
        <f>SUM(G30:G37)</f>
        <v>253960.59999999998</v>
      </c>
      <c r="H38" s="355">
        <v>305457.56</v>
      </c>
      <c r="I38" s="78">
        <f t="shared" ref="I38:Q38" si="34">SUM(I30:I37)</f>
        <v>78969</v>
      </c>
      <c r="J38" s="79">
        <f t="shared" si="34"/>
        <v>185267.66999999998</v>
      </c>
      <c r="K38" s="79">
        <f t="shared" si="34"/>
        <v>74757.13</v>
      </c>
      <c r="L38" s="79">
        <f t="shared" si="34"/>
        <v>45504.340000000004</v>
      </c>
      <c r="M38" s="79">
        <f>SUM(M30:M37)</f>
        <v>19501.86</v>
      </c>
      <c r="N38" s="80">
        <f t="shared" si="34"/>
        <v>325031</v>
      </c>
      <c r="O38" s="81">
        <f t="shared" si="34"/>
        <v>0</v>
      </c>
      <c r="P38" s="82">
        <f t="shared" si="34"/>
        <v>225200</v>
      </c>
      <c r="Q38" s="82">
        <f t="shared" si="34"/>
        <v>225200</v>
      </c>
      <c r="R38" s="148"/>
      <c r="S38" s="85">
        <f>S30+S31+S32+S33+S34+S35+S36+S37</f>
        <v>404000</v>
      </c>
      <c r="T38" s="77">
        <f>SUM(T30:T37)</f>
        <v>393451.64</v>
      </c>
      <c r="U38" s="86">
        <f>SUM(U30:U37)</f>
        <v>14296.88</v>
      </c>
      <c r="V38" s="87">
        <f t="shared" ref="V38" si="35">SUM(V30:V37)</f>
        <v>78969</v>
      </c>
      <c r="W38" s="88">
        <f>SUM(W30:W37)</f>
        <v>300185.76</v>
      </c>
      <c r="X38" s="89">
        <f t="shared" si="3"/>
        <v>97.389019801980197</v>
      </c>
      <c r="Y38" s="90">
        <f t="shared" si="4"/>
        <v>128.80730141365629</v>
      </c>
    </row>
    <row r="39" spans="1:25" ht="12.2" customHeight="1" x14ac:dyDescent="0.2">
      <c r="A39" s="150">
        <v>3291</v>
      </c>
      <c r="B39" s="57" t="s">
        <v>53</v>
      </c>
      <c r="C39" s="58">
        <v>38042.300000000003</v>
      </c>
      <c r="D39" s="59">
        <v>33146.04</v>
      </c>
      <c r="E39" s="60">
        <v>33002.04</v>
      </c>
      <c r="F39" s="60">
        <v>33002.04</v>
      </c>
      <c r="G39" s="60">
        <v>16501.02</v>
      </c>
      <c r="H39" s="356">
        <v>0</v>
      </c>
      <c r="I39" s="91">
        <v>0</v>
      </c>
      <c r="J39" s="62">
        <f>N39*0.57</f>
        <v>0</v>
      </c>
      <c r="K39" s="62">
        <f>N39*0.23</f>
        <v>0</v>
      </c>
      <c r="L39" s="62">
        <f>N39*0.14</f>
        <v>0</v>
      </c>
      <c r="M39" s="62">
        <f>N39*0.06</f>
        <v>0</v>
      </c>
      <c r="N39" s="63">
        <f>S39-I39-O39</f>
        <v>0</v>
      </c>
      <c r="O39" s="64">
        <v>0</v>
      </c>
      <c r="P39" s="62">
        <v>22000</v>
      </c>
      <c r="Q39" s="62">
        <v>22000</v>
      </c>
      <c r="R39" s="147"/>
      <c r="S39" s="92">
        <v>0</v>
      </c>
      <c r="T39" s="60">
        <v>0</v>
      </c>
      <c r="U39" s="68">
        <f>O39</f>
        <v>0</v>
      </c>
      <c r="V39" s="69">
        <f>I39</f>
        <v>0</v>
      </c>
      <c r="W39" s="70">
        <f>T39-U39-V39</f>
        <v>0</v>
      </c>
      <c r="X39" s="71">
        <v>0</v>
      </c>
      <c r="Y39" s="72">
        <v>0</v>
      </c>
    </row>
    <row r="40" spans="1:25" ht="12.2" customHeight="1" x14ac:dyDescent="0.2">
      <c r="A40" s="150">
        <v>3292</v>
      </c>
      <c r="B40" s="57" t="s">
        <v>54</v>
      </c>
      <c r="C40" s="58">
        <v>96514.53</v>
      </c>
      <c r="D40" s="59">
        <v>98004.83</v>
      </c>
      <c r="E40" s="60">
        <v>101125</v>
      </c>
      <c r="F40" s="60">
        <v>93823.31</v>
      </c>
      <c r="G40" s="60">
        <v>53763.02</v>
      </c>
      <c r="H40" s="356">
        <v>52123.93</v>
      </c>
      <c r="I40" s="91">
        <v>46443</v>
      </c>
      <c r="J40" s="62">
        <f>N40*0.57</f>
        <v>6587.49</v>
      </c>
      <c r="K40" s="62">
        <f>N40*0.23</f>
        <v>2658.11</v>
      </c>
      <c r="L40" s="62">
        <f>N40*0.14</f>
        <v>1617.9800000000002</v>
      </c>
      <c r="M40" s="62">
        <f t="shared" ref="M40:M42" si="36">N40*0.06</f>
        <v>693.42</v>
      </c>
      <c r="N40" s="63">
        <f>S40-I40-O40</f>
        <v>11557</v>
      </c>
      <c r="O40" s="64">
        <v>0</v>
      </c>
      <c r="P40" s="62">
        <v>100000</v>
      </c>
      <c r="Q40" s="62">
        <v>100000</v>
      </c>
      <c r="R40" s="147"/>
      <c r="S40" s="92">
        <v>58000</v>
      </c>
      <c r="T40" s="60">
        <v>53680.71</v>
      </c>
      <c r="U40" s="68">
        <f t="shared" ref="U40:U42" si="37">O40</f>
        <v>0</v>
      </c>
      <c r="V40" s="69">
        <f t="shared" ref="V40:V42" si="38">I40</f>
        <v>46443</v>
      </c>
      <c r="W40" s="70">
        <f>T40-U40-V40</f>
        <v>7237.7099999999991</v>
      </c>
      <c r="X40" s="71">
        <f t="shared" si="3"/>
        <v>92.552948275862065</v>
      </c>
      <c r="Y40" s="72">
        <f t="shared" si="4"/>
        <v>102.9866896068658</v>
      </c>
    </row>
    <row r="41" spans="1:25" ht="12.2" customHeight="1" x14ac:dyDescent="0.2">
      <c r="A41" s="150">
        <v>3293</v>
      </c>
      <c r="B41" s="57" t="s">
        <v>55</v>
      </c>
      <c r="C41" s="58">
        <v>15951.12</v>
      </c>
      <c r="D41" s="59">
        <v>13042.85</v>
      </c>
      <c r="E41" s="60">
        <v>17994.72</v>
      </c>
      <c r="F41" s="60">
        <v>16819.72</v>
      </c>
      <c r="G41" s="60">
        <v>6083.9</v>
      </c>
      <c r="H41" s="356">
        <v>9696.65</v>
      </c>
      <c r="I41" s="91">
        <v>0</v>
      </c>
      <c r="J41" s="62">
        <f t="shared" ref="J41:J42" si="39">N41*0.57</f>
        <v>8550</v>
      </c>
      <c r="K41" s="62">
        <f t="shared" ref="K41:K42" si="40">N41*0.23</f>
        <v>3450</v>
      </c>
      <c r="L41" s="62">
        <f t="shared" ref="L41:L42" si="41">N41*0.14</f>
        <v>2100</v>
      </c>
      <c r="M41" s="62">
        <f t="shared" si="36"/>
        <v>900</v>
      </c>
      <c r="N41" s="63">
        <f>S41-I41-O41</f>
        <v>15000</v>
      </c>
      <c r="O41" s="64">
        <v>0</v>
      </c>
      <c r="P41" s="62">
        <v>12000</v>
      </c>
      <c r="Q41" s="62">
        <v>12000</v>
      </c>
      <c r="R41" s="147"/>
      <c r="S41" s="92">
        <v>15000</v>
      </c>
      <c r="T41" s="60">
        <v>11682.61</v>
      </c>
      <c r="U41" s="68">
        <f t="shared" si="37"/>
        <v>0</v>
      </c>
      <c r="V41" s="69">
        <f t="shared" si="38"/>
        <v>0</v>
      </c>
      <c r="W41" s="70">
        <f>T41-U41-V41</f>
        <v>11682.61</v>
      </c>
      <c r="X41" s="71">
        <f t="shared" si="3"/>
        <v>77.884066666666669</v>
      </c>
      <c r="Y41" s="72">
        <f t="shared" si="4"/>
        <v>120.48088772926732</v>
      </c>
    </row>
    <row r="42" spans="1:25" ht="12.2" customHeight="1" x14ac:dyDescent="0.2">
      <c r="A42" s="150">
        <v>3299</v>
      </c>
      <c r="B42" s="57" t="s">
        <v>56</v>
      </c>
      <c r="C42" s="58">
        <v>1672.5</v>
      </c>
      <c r="D42" s="59">
        <v>4892.5</v>
      </c>
      <c r="E42" s="60">
        <v>3077</v>
      </c>
      <c r="F42" s="60">
        <v>3615</v>
      </c>
      <c r="G42" s="60">
        <v>3070</v>
      </c>
      <c r="H42" s="356">
        <v>3261.34</v>
      </c>
      <c r="I42" s="91">
        <v>0</v>
      </c>
      <c r="J42" s="62">
        <f t="shared" si="39"/>
        <v>3419.9999999999995</v>
      </c>
      <c r="K42" s="62">
        <f t="shared" si="40"/>
        <v>1380</v>
      </c>
      <c r="L42" s="62">
        <f t="shared" si="41"/>
        <v>840.00000000000011</v>
      </c>
      <c r="M42" s="62">
        <f t="shared" si="36"/>
        <v>360</v>
      </c>
      <c r="N42" s="63">
        <f>S42-I42-O42</f>
        <v>6000</v>
      </c>
      <c r="O42" s="64">
        <v>0</v>
      </c>
      <c r="P42" s="62">
        <v>5000</v>
      </c>
      <c r="Q42" s="62">
        <v>5000</v>
      </c>
      <c r="R42" s="147"/>
      <c r="S42" s="92">
        <v>6000</v>
      </c>
      <c r="T42" s="60">
        <v>3972.3</v>
      </c>
      <c r="U42" s="68">
        <f t="shared" si="37"/>
        <v>0</v>
      </c>
      <c r="V42" s="69">
        <f t="shared" si="38"/>
        <v>0</v>
      </c>
      <c r="W42" s="70">
        <f>T42-U42-V42</f>
        <v>3972.3</v>
      </c>
      <c r="X42" s="71">
        <f t="shared" si="3"/>
        <v>66.204999999999998</v>
      </c>
      <c r="Y42" s="72">
        <f t="shared" si="4"/>
        <v>121.79962837361332</v>
      </c>
    </row>
    <row r="43" spans="1:25" ht="22.5" customHeight="1" x14ac:dyDescent="0.2">
      <c r="A43" s="151">
        <v>329</v>
      </c>
      <c r="B43" s="74" t="s">
        <v>57</v>
      </c>
      <c r="C43" s="75">
        <f>SUM(C39:C42)</f>
        <v>152180.45000000001</v>
      </c>
      <c r="D43" s="76">
        <f>SUM(D39:D42)</f>
        <v>149086.22</v>
      </c>
      <c r="E43" s="77">
        <f>SUM(E39:E42)</f>
        <v>155198.76</v>
      </c>
      <c r="F43" s="77">
        <f>SUM(F39:F42)</f>
        <v>147260.07</v>
      </c>
      <c r="G43" s="77">
        <f>SUM(G39:G42)</f>
        <v>79417.939999999988</v>
      </c>
      <c r="H43" s="355">
        <v>65081.919999999998</v>
      </c>
      <c r="I43" s="78">
        <f t="shared" ref="I43:Q43" si="42">SUM(I39:I42)</f>
        <v>46443</v>
      </c>
      <c r="J43" s="79">
        <f t="shared" si="42"/>
        <v>18557.489999999998</v>
      </c>
      <c r="K43" s="79">
        <f t="shared" si="42"/>
        <v>7488.1100000000006</v>
      </c>
      <c r="L43" s="79">
        <f t="shared" si="42"/>
        <v>4557.9800000000005</v>
      </c>
      <c r="M43" s="79">
        <f t="shared" si="42"/>
        <v>1953.42</v>
      </c>
      <c r="N43" s="80">
        <f t="shared" si="42"/>
        <v>32557</v>
      </c>
      <c r="O43" s="81">
        <f t="shared" si="42"/>
        <v>0</v>
      </c>
      <c r="P43" s="82">
        <f t="shared" si="42"/>
        <v>139000</v>
      </c>
      <c r="Q43" s="83">
        <f t="shared" si="42"/>
        <v>139000</v>
      </c>
      <c r="R43" s="84"/>
      <c r="S43" s="85">
        <f>S39+S40+S41+S42</f>
        <v>79000</v>
      </c>
      <c r="T43" s="77">
        <f>SUM(T39:T42)</f>
        <v>69335.62</v>
      </c>
      <c r="U43" s="86">
        <f>SUM(U39:U42)</f>
        <v>0</v>
      </c>
      <c r="V43" s="152">
        <f t="shared" ref="V43" si="43">SUM(V39:V42)</f>
        <v>46443</v>
      </c>
      <c r="W43" s="88">
        <f>SUM(W39:W42)</f>
        <v>22892.62</v>
      </c>
      <c r="X43" s="89">
        <f t="shared" si="3"/>
        <v>87.766607594936701</v>
      </c>
      <c r="Y43" s="90">
        <f t="shared" si="4"/>
        <v>106.53591658021151</v>
      </c>
    </row>
    <row r="44" spans="1:25" ht="12.2" customHeight="1" x14ac:dyDescent="0.2">
      <c r="A44" s="153">
        <v>32</v>
      </c>
      <c r="B44" s="154" t="s">
        <v>58</v>
      </c>
      <c r="C44" s="155">
        <f>C23+C29+C38+C43</f>
        <v>931020.07000000007</v>
      </c>
      <c r="D44" s="156">
        <f>D23+D29+D38+D43</f>
        <v>1119952.0900000001</v>
      </c>
      <c r="E44" s="157">
        <f>E23+E29+E38+E43</f>
        <v>1252343.7999999998</v>
      </c>
      <c r="F44" s="157">
        <f>F23+F29+F38+F43</f>
        <v>1190613.47</v>
      </c>
      <c r="G44" s="157">
        <f>G23+G29+G38+G43</f>
        <v>735576.40999999992</v>
      </c>
      <c r="H44" s="135">
        <v>888380.46000000008</v>
      </c>
      <c r="I44" s="124">
        <f t="shared" ref="I44:S44" si="44">I23+I29+I38+I43</f>
        <v>423371</v>
      </c>
      <c r="J44" s="158">
        <f t="shared" si="44"/>
        <v>531597.53</v>
      </c>
      <c r="K44" s="158">
        <f>K23+K29+K38+K43</f>
        <v>214504.66999999998</v>
      </c>
      <c r="L44" s="158">
        <f>L23+L29+L38+L43</f>
        <v>130568.06000000001</v>
      </c>
      <c r="M44" s="158">
        <f>M23+M29+M38+M43</f>
        <v>55957.74</v>
      </c>
      <c r="N44" s="159">
        <f t="shared" si="44"/>
        <v>932629</v>
      </c>
      <c r="O44" s="160">
        <f t="shared" si="44"/>
        <v>2000</v>
      </c>
      <c r="P44" s="158">
        <f t="shared" si="44"/>
        <v>875450</v>
      </c>
      <c r="Q44" s="158">
        <f t="shared" si="44"/>
        <v>875450</v>
      </c>
      <c r="R44" s="161">
        <f t="shared" si="44"/>
        <v>0</v>
      </c>
      <c r="S44" s="85">
        <f t="shared" si="44"/>
        <v>1358000</v>
      </c>
      <c r="T44" s="157">
        <f>T23+T29+T38+T43</f>
        <v>1269516.69</v>
      </c>
      <c r="U44" s="162">
        <f>U23+U29+U38+U43</f>
        <v>23031.55</v>
      </c>
      <c r="V44" s="163">
        <f>V23+V29+V38+V43</f>
        <v>423371</v>
      </c>
      <c r="W44" s="164">
        <f>W23+W29+W38+W43</f>
        <v>823114.14</v>
      </c>
      <c r="X44" s="165">
        <f t="shared" si="3"/>
        <v>93.484292341678938</v>
      </c>
      <c r="Y44" s="135">
        <f t="shared" si="4"/>
        <v>142.90236527714711</v>
      </c>
    </row>
    <row r="45" spans="1:25" ht="12.2" hidden="1" customHeight="1" x14ac:dyDescent="0.2">
      <c r="A45" s="150">
        <v>3431</v>
      </c>
      <c r="B45" s="57" t="s">
        <v>59</v>
      </c>
      <c r="C45" s="58">
        <v>172.9</v>
      </c>
      <c r="D45" s="59">
        <v>0</v>
      </c>
      <c r="E45" s="60">
        <v>0</v>
      </c>
      <c r="F45" s="60">
        <v>0</v>
      </c>
      <c r="G45" s="60">
        <v>0</v>
      </c>
      <c r="H45" s="356">
        <v>0</v>
      </c>
      <c r="I45" s="91">
        <v>0</v>
      </c>
      <c r="J45" s="62">
        <f>N45*0.57</f>
        <v>0</v>
      </c>
      <c r="K45" s="62">
        <f>N45*0.23</f>
        <v>0</v>
      </c>
      <c r="L45" s="62">
        <f>N45*0.14</f>
        <v>0</v>
      </c>
      <c r="M45" s="62">
        <f>N45*0.06</f>
        <v>0</v>
      </c>
      <c r="N45" s="63">
        <f>S45-I45-O45</f>
        <v>0</v>
      </c>
      <c r="O45" s="64">
        <v>0</v>
      </c>
      <c r="P45" s="62">
        <v>3000</v>
      </c>
      <c r="Q45" s="65">
        <v>3000</v>
      </c>
      <c r="R45" s="66"/>
      <c r="S45" s="92">
        <v>0</v>
      </c>
      <c r="T45" s="60">
        <v>0</v>
      </c>
      <c r="U45" s="68">
        <v>0</v>
      </c>
      <c r="V45" s="166">
        <v>0</v>
      </c>
      <c r="W45" s="70">
        <f>T45-U45-V45</f>
        <v>0</v>
      </c>
      <c r="X45" s="71">
        <v>0</v>
      </c>
      <c r="Y45" s="90" t="e">
        <f t="shared" si="4"/>
        <v>#DIV/0!</v>
      </c>
    </row>
    <row r="46" spans="1:25" ht="12.2" hidden="1" customHeight="1" x14ac:dyDescent="0.2">
      <c r="A46" s="167">
        <v>343</v>
      </c>
      <c r="B46" s="168" t="s">
        <v>60</v>
      </c>
      <c r="C46" s="58">
        <f>C45</f>
        <v>172.9</v>
      </c>
      <c r="D46" s="59">
        <v>0</v>
      </c>
      <c r="E46" s="60">
        <v>0</v>
      </c>
      <c r="F46" s="60">
        <v>0</v>
      </c>
      <c r="G46" s="60">
        <v>0</v>
      </c>
      <c r="H46" s="356">
        <v>0</v>
      </c>
      <c r="I46" s="91">
        <f t="shared" ref="I46:Q47" si="45">I45</f>
        <v>0</v>
      </c>
      <c r="J46" s="62">
        <f t="shared" si="45"/>
        <v>0</v>
      </c>
      <c r="K46" s="62">
        <f t="shared" si="45"/>
        <v>0</v>
      </c>
      <c r="L46" s="62">
        <f t="shared" si="45"/>
        <v>0</v>
      </c>
      <c r="M46" s="62">
        <f t="shared" si="45"/>
        <v>0</v>
      </c>
      <c r="N46" s="63">
        <f t="shared" si="45"/>
        <v>0</v>
      </c>
      <c r="O46" s="64">
        <f t="shared" si="45"/>
        <v>0</v>
      </c>
      <c r="P46" s="169">
        <f t="shared" si="45"/>
        <v>3000</v>
      </c>
      <c r="Q46" s="65">
        <f t="shared" si="45"/>
        <v>3000</v>
      </c>
      <c r="R46" s="66"/>
      <c r="S46" s="92">
        <v>0</v>
      </c>
      <c r="T46" s="60">
        <v>0</v>
      </c>
      <c r="U46" s="68">
        <f t="shared" ref="U46:W47" si="46">U45</f>
        <v>0</v>
      </c>
      <c r="V46" s="166">
        <f t="shared" si="46"/>
        <v>0</v>
      </c>
      <c r="W46" s="70">
        <f t="shared" si="46"/>
        <v>0</v>
      </c>
      <c r="X46" s="71">
        <v>0</v>
      </c>
      <c r="Y46" s="90" t="e">
        <f t="shared" si="4"/>
        <v>#DIV/0!</v>
      </c>
    </row>
    <row r="47" spans="1:25" ht="12.2" hidden="1" customHeight="1" x14ac:dyDescent="0.2">
      <c r="A47" s="153">
        <v>34</v>
      </c>
      <c r="B47" s="154" t="s">
        <v>61</v>
      </c>
      <c r="C47" s="170">
        <f t="shared" ref="C47" si="47">C46</f>
        <v>172.9</v>
      </c>
      <c r="D47" s="171">
        <v>0</v>
      </c>
      <c r="E47" s="172">
        <v>0</v>
      </c>
      <c r="F47" s="172">
        <v>0</v>
      </c>
      <c r="G47" s="172">
        <v>0</v>
      </c>
      <c r="H47" s="356">
        <v>0</v>
      </c>
      <c r="I47" s="91">
        <f t="shared" si="45"/>
        <v>0</v>
      </c>
      <c r="J47" s="173">
        <f t="shared" si="45"/>
        <v>0</v>
      </c>
      <c r="K47" s="173">
        <f t="shared" si="45"/>
        <v>0</v>
      </c>
      <c r="L47" s="173">
        <f t="shared" si="45"/>
        <v>0</v>
      </c>
      <c r="M47" s="173">
        <f t="shared" si="45"/>
        <v>0</v>
      </c>
      <c r="N47" s="174">
        <f t="shared" si="45"/>
        <v>0</v>
      </c>
      <c r="O47" s="175">
        <f t="shared" si="45"/>
        <v>0</v>
      </c>
      <c r="P47" s="176">
        <f t="shared" si="45"/>
        <v>3000</v>
      </c>
      <c r="Q47" s="176">
        <f t="shared" si="45"/>
        <v>3000</v>
      </c>
      <c r="R47" s="177"/>
      <c r="S47" s="92">
        <v>0</v>
      </c>
      <c r="T47" s="172">
        <v>0</v>
      </c>
      <c r="U47" s="178">
        <f t="shared" si="46"/>
        <v>0</v>
      </c>
      <c r="V47" s="179">
        <f t="shared" si="46"/>
        <v>0</v>
      </c>
      <c r="W47" s="180">
        <f t="shared" si="46"/>
        <v>0</v>
      </c>
      <c r="X47" s="181">
        <v>0</v>
      </c>
      <c r="Y47" s="90" t="e">
        <f t="shared" si="4"/>
        <v>#DIV/0!</v>
      </c>
    </row>
    <row r="48" spans="1:25" ht="12.2" customHeight="1" x14ac:dyDescent="0.2">
      <c r="A48" s="182">
        <v>3</v>
      </c>
      <c r="B48" s="183" t="s">
        <v>62</v>
      </c>
      <c r="C48" s="184">
        <f>C19+C44+C47</f>
        <v>7508653.1500000013</v>
      </c>
      <c r="D48" s="185">
        <f>D19+D44+D47</f>
        <v>7764854.6300000008</v>
      </c>
      <c r="E48" s="186">
        <f>E19+E44+E47</f>
        <v>7825673.6200000001</v>
      </c>
      <c r="F48" s="186">
        <f>F19+F44+F47</f>
        <v>7914861.7800000003</v>
      </c>
      <c r="G48" s="186">
        <f>G19+G44+G47</f>
        <v>7203399.71</v>
      </c>
      <c r="H48" s="196">
        <v>7322488.7199999997</v>
      </c>
      <c r="I48" s="187">
        <f t="shared" ref="I48:S48" si="48">I19+I44+I47</f>
        <v>4212501</v>
      </c>
      <c r="J48" s="188">
        <f>J19+J44+J47</f>
        <v>2427344.4299999997</v>
      </c>
      <c r="K48" s="188">
        <f>K19+K44+K47</f>
        <v>979454.77</v>
      </c>
      <c r="L48" s="188">
        <f>L19+L44+L47</f>
        <v>596189.8600000001</v>
      </c>
      <c r="M48" s="188">
        <f>M19+M44+M47</f>
        <v>255509.93999999997</v>
      </c>
      <c r="N48" s="189">
        <f t="shared" si="48"/>
        <v>4258499</v>
      </c>
      <c r="O48" s="190">
        <f t="shared" si="48"/>
        <v>2000</v>
      </c>
      <c r="P48" s="191">
        <f t="shared" si="48"/>
        <v>7946550</v>
      </c>
      <c r="Q48" s="191">
        <f t="shared" si="48"/>
        <v>8050650</v>
      </c>
      <c r="R48" s="191">
        <f t="shared" si="48"/>
        <v>0</v>
      </c>
      <c r="S48" s="85">
        <f t="shared" si="48"/>
        <v>8473000</v>
      </c>
      <c r="T48" s="186">
        <f>T19+T44+T47</f>
        <v>8056199.0999999996</v>
      </c>
      <c r="U48" s="192">
        <f>U19+U44+U47</f>
        <v>31515.86</v>
      </c>
      <c r="V48" s="193">
        <f>V19+V44+V47</f>
        <v>4212501</v>
      </c>
      <c r="W48" s="194">
        <f>W19+W44+W47</f>
        <v>3812182.2400000007</v>
      </c>
      <c r="X48" s="195">
        <f t="shared" si="3"/>
        <v>95.080834415201224</v>
      </c>
      <c r="Y48" s="196">
        <f t="shared" si="4"/>
        <v>110.01995917038437</v>
      </c>
    </row>
    <row r="49" spans="1:25" s="213" customFormat="1" ht="12.2" customHeight="1" x14ac:dyDescent="0.2">
      <c r="A49" s="197">
        <v>4221</v>
      </c>
      <c r="B49" s="198" t="s">
        <v>63</v>
      </c>
      <c r="C49" s="199">
        <v>0</v>
      </c>
      <c r="D49" s="200">
        <v>5706.65</v>
      </c>
      <c r="E49" s="201">
        <v>9999.75</v>
      </c>
      <c r="F49" s="201">
        <v>2799.96</v>
      </c>
      <c r="G49" s="201">
        <v>9857.25</v>
      </c>
      <c r="H49" s="356">
        <v>31456.84</v>
      </c>
      <c r="I49" s="202">
        <v>0</v>
      </c>
      <c r="J49" s="203">
        <f>N49*0.57</f>
        <v>4560</v>
      </c>
      <c r="K49" s="203">
        <f>N49*0.23</f>
        <v>1840</v>
      </c>
      <c r="L49" s="203">
        <f t="shared" ref="L49:L55" si="49">N49*0.14</f>
        <v>1120</v>
      </c>
      <c r="M49" s="203">
        <f>N49*0.06</f>
        <v>480</v>
      </c>
      <c r="N49" s="204">
        <f t="shared" ref="N49:N59" si="50">S49-I49-O49</f>
        <v>8000</v>
      </c>
      <c r="O49" s="205">
        <v>0</v>
      </c>
      <c r="P49" s="206"/>
      <c r="Q49" s="207"/>
      <c r="R49" s="208"/>
      <c r="S49" s="92">
        <v>8000</v>
      </c>
      <c r="T49" s="201">
        <v>15580.86</v>
      </c>
      <c r="U49" s="209">
        <v>7580.86</v>
      </c>
      <c r="V49" s="210">
        <v>0</v>
      </c>
      <c r="W49" s="211">
        <f t="shared" ref="W49:W59" si="51">T49-U49-V49</f>
        <v>8000.0000000000009</v>
      </c>
      <c r="X49" s="212">
        <f t="shared" si="3"/>
        <v>194.76075000000003</v>
      </c>
      <c r="Y49" s="72">
        <f t="shared" si="4"/>
        <v>49.530912831676673</v>
      </c>
    </row>
    <row r="50" spans="1:25" s="213" customFormat="1" ht="12.2" customHeight="1" x14ac:dyDescent="0.2">
      <c r="A50" s="197">
        <v>4222</v>
      </c>
      <c r="B50" s="198" t="s">
        <v>64</v>
      </c>
      <c r="C50" s="199"/>
      <c r="D50" s="200"/>
      <c r="E50" s="201">
        <v>0</v>
      </c>
      <c r="F50" s="201">
        <v>0</v>
      </c>
      <c r="G50" s="201">
        <v>0</v>
      </c>
      <c r="H50" s="356">
        <v>15982</v>
      </c>
      <c r="I50" s="202">
        <v>0</v>
      </c>
      <c r="J50" s="203">
        <f>N50*0.57</f>
        <v>6839.9999999999991</v>
      </c>
      <c r="K50" s="203">
        <f>N50*0.23</f>
        <v>2760</v>
      </c>
      <c r="L50" s="203">
        <f t="shared" si="49"/>
        <v>1680.0000000000002</v>
      </c>
      <c r="M50" s="203">
        <f>N50*0.06</f>
        <v>720</v>
      </c>
      <c r="N50" s="204">
        <f t="shared" si="50"/>
        <v>12000</v>
      </c>
      <c r="O50" s="205">
        <v>4125</v>
      </c>
      <c r="P50" s="206"/>
      <c r="Q50" s="207"/>
      <c r="R50" s="208"/>
      <c r="S50" s="92">
        <v>16125</v>
      </c>
      <c r="T50" s="201">
        <v>16092.5</v>
      </c>
      <c r="U50" s="209">
        <f>625+3467.5</f>
        <v>4092.5</v>
      </c>
      <c r="V50" s="210">
        <v>0</v>
      </c>
      <c r="W50" s="211">
        <f t="shared" si="51"/>
        <v>12000</v>
      </c>
      <c r="X50" s="212">
        <f t="shared" si="3"/>
        <v>99.798449612403104</v>
      </c>
      <c r="Y50" s="72">
        <f t="shared" si="4"/>
        <v>100.69140282818169</v>
      </c>
    </row>
    <row r="51" spans="1:25" s="213" customFormat="1" ht="12.2" customHeight="1" x14ac:dyDescent="0.2">
      <c r="A51" s="197">
        <v>4223</v>
      </c>
      <c r="B51" s="198" t="s">
        <v>65</v>
      </c>
      <c r="C51" s="199">
        <v>69138.5</v>
      </c>
      <c r="D51" s="200">
        <v>159686.92000000001</v>
      </c>
      <c r="E51" s="201">
        <v>86140</v>
      </c>
      <c r="F51" s="201">
        <v>109229.58</v>
      </c>
      <c r="G51" s="201">
        <v>26486.3</v>
      </c>
      <c r="H51" s="356">
        <v>76149.66</v>
      </c>
      <c r="I51" s="202">
        <v>0</v>
      </c>
      <c r="J51" s="203">
        <f t="shared" ref="J51:J55" si="52">N51*0.57</f>
        <v>67830</v>
      </c>
      <c r="K51" s="203">
        <f t="shared" ref="K51:K52" si="53">N51*0.23</f>
        <v>27370</v>
      </c>
      <c r="L51" s="203">
        <f t="shared" si="49"/>
        <v>16660</v>
      </c>
      <c r="M51" s="203">
        <f t="shared" ref="M51:M52" si="54">N51*0.06</f>
        <v>7140</v>
      </c>
      <c r="N51" s="204">
        <f t="shared" si="50"/>
        <v>119000</v>
      </c>
      <c r="O51" s="205">
        <v>30000</v>
      </c>
      <c r="P51" s="206"/>
      <c r="Q51" s="207"/>
      <c r="R51" s="208"/>
      <c r="S51" s="92">
        <v>149000</v>
      </c>
      <c r="T51" s="201">
        <v>150254.57</v>
      </c>
      <c r="U51" s="209">
        <v>33534.14</v>
      </c>
      <c r="V51" s="210">
        <v>0</v>
      </c>
      <c r="W51" s="211">
        <f t="shared" si="51"/>
        <v>116720.43000000001</v>
      </c>
      <c r="X51" s="212">
        <f t="shared" si="3"/>
        <v>100.8419932885906</v>
      </c>
      <c r="Y51" s="72">
        <f t="shared" si="4"/>
        <v>197.31482714433656</v>
      </c>
    </row>
    <row r="52" spans="1:25" s="213" customFormat="1" ht="12.2" customHeight="1" x14ac:dyDescent="0.2">
      <c r="A52" s="197">
        <v>4262</v>
      </c>
      <c r="B52" s="198" t="s">
        <v>66</v>
      </c>
      <c r="C52" s="214">
        <v>0</v>
      </c>
      <c r="D52" s="215">
        <v>0</v>
      </c>
      <c r="E52" s="216">
        <v>0</v>
      </c>
      <c r="F52" s="216">
        <v>2085</v>
      </c>
      <c r="G52" s="216">
        <v>3948</v>
      </c>
      <c r="H52" s="356">
        <v>12500</v>
      </c>
      <c r="I52" s="202">
        <v>0</v>
      </c>
      <c r="J52" s="203">
        <f t="shared" si="52"/>
        <v>0</v>
      </c>
      <c r="K52" s="203">
        <f t="shared" si="53"/>
        <v>0</v>
      </c>
      <c r="L52" s="203">
        <f t="shared" si="49"/>
        <v>0</v>
      </c>
      <c r="M52" s="203">
        <f t="shared" si="54"/>
        <v>0</v>
      </c>
      <c r="N52" s="204">
        <f t="shared" si="50"/>
        <v>0</v>
      </c>
      <c r="O52" s="217">
        <v>20000</v>
      </c>
      <c r="P52" s="218"/>
      <c r="Q52" s="219"/>
      <c r="R52" s="220"/>
      <c r="S52" s="92">
        <v>20000</v>
      </c>
      <c r="T52" s="216">
        <v>21375</v>
      </c>
      <c r="U52" s="209">
        <v>21375</v>
      </c>
      <c r="V52" s="221">
        <v>0</v>
      </c>
      <c r="W52" s="211">
        <f t="shared" si="51"/>
        <v>0</v>
      </c>
      <c r="X52" s="212">
        <f t="shared" si="3"/>
        <v>106.87500000000001</v>
      </c>
      <c r="Y52" s="72">
        <f t="shared" si="4"/>
        <v>171</v>
      </c>
    </row>
    <row r="53" spans="1:25" ht="22.5" x14ac:dyDescent="0.2">
      <c r="A53" s="150">
        <v>4263</v>
      </c>
      <c r="B53" s="57" t="s">
        <v>67</v>
      </c>
      <c r="C53" s="222">
        <v>125640.96000000001</v>
      </c>
      <c r="D53" s="223">
        <v>105000</v>
      </c>
      <c r="E53" s="224">
        <v>0</v>
      </c>
      <c r="F53" s="224">
        <v>24375</v>
      </c>
      <c r="G53" s="224">
        <v>430799.76</v>
      </c>
      <c r="H53" s="356">
        <v>7938.4</v>
      </c>
      <c r="I53" s="225">
        <v>0</v>
      </c>
      <c r="J53" s="203">
        <f>N53*0.57</f>
        <v>0</v>
      </c>
      <c r="K53" s="203">
        <f>N53*0.23</f>
        <v>0</v>
      </c>
      <c r="L53" s="203">
        <f t="shared" si="49"/>
        <v>0</v>
      </c>
      <c r="M53" s="203">
        <f>N53*0.06</f>
        <v>0</v>
      </c>
      <c r="N53" s="204">
        <f t="shared" si="50"/>
        <v>0</v>
      </c>
      <c r="O53" s="226">
        <v>0</v>
      </c>
      <c r="P53" s="227">
        <v>50000</v>
      </c>
      <c r="Q53" s="228">
        <v>50000</v>
      </c>
      <c r="R53" s="229"/>
      <c r="S53" s="92">
        <v>0</v>
      </c>
      <c r="T53" s="224">
        <v>0</v>
      </c>
      <c r="U53" s="209">
        <f t="shared" ref="U53:U59" si="55">O53</f>
        <v>0</v>
      </c>
      <c r="V53" s="230">
        <v>0</v>
      </c>
      <c r="W53" s="211">
        <f t="shared" si="51"/>
        <v>0</v>
      </c>
      <c r="X53" s="212">
        <v>0</v>
      </c>
      <c r="Y53" s="72">
        <f t="shared" si="4"/>
        <v>0</v>
      </c>
    </row>
    <row r="54" spans="1:25" x14ac:dyDescent="0.2">
      <c r="A54" s="150">
        <v>3821</v>
      </c>
      <c r="B54" s="57" t="s">
        <v>68</v>
      </c>
      <c r="C54" s="231">
        <v>0</v>
      </c>
      <c r="D54" s="232">
        <v>0</v>
      </c>
      <c r="E54" s="233">
        <v>0</v>
      </c>
      <c r="F54" s="233">
        <v>0</v>
      </c>
      <c r="G54" s="233">
        <v>8500</v>
      </c>
      <c r="H54" s="356">
        <v>0</v>
      </c>
      <c r="I54" s="225">
        <v>0</v>
      </c>
      <c r="J54" s="203">
        <f t="shared" si="52"/>
        <v>0</v>
      </c>
      <c r="K54" s="203">
        <f>N54*0.23</f>
        <v>0</v>
      </c>
      <c r="L54" s="203">
        <f t="shared" si="49"/>
        <v>0</v>
      </c>
      <c r="M54" s="203">
        <f>N54*0.06</f>
        <v>0</v>
      </c>
      <c r="N54" s="204">
        <f t="shared" si="50"/>
        <v>0</v>
      </c>
      <c r="O54" s="234">
        <v>0</v>
      </c>
      <c r="P54" s="235"/>
      <c r="Q54" s="236"/>
      <c r="R54" s="237"/>
      <c r="S54" s="92">
        <v>0</v>
      </c>
      <c r="T54" s="233">
        <v>0</v>
      </c>
      <c r="U54" s="209">
        <f t="shared" si="55"/>
        <v>0</v>
      </c>
      <c r="V54" s="230">
        <v>0</v>
      </c>
      <c r="W54" s="211">
        <f t="shared" si="51"/>
        <v>0</v>
      </c>
      <c r="X54" s="212">
        <v>0</v>
      </c>
      <c r="Y54" s="72">
        <v>0</v>
      </c>
    </row>
    <row r="55" spans="1:25" x14ac:dyDescent="0.2">
      <c r="A55" s="56">
        <v>4231</v>
      </c>
      <c r="B55" s="57" t="s">
        <v>69</v>
      </c>
      <c r="C55" s="238">
        <v>0</v>
      </c>
      <c r="D55" s="239">
        <v>0</v>
      </c>
      <c r="E55" s="240">
        <v>1160763.75</v>
      </c>
      <c r="F55" s="240">
        <v>0</v>
      </c>
      <c r="G55" s="240">
        <v>0</v>
      </c>
      <c r="H55" s="356">
        <v>0</v>
      </c>
      <c r="I55" s="225">
        <v>0</v>
      </c>
      <c r="J55" s="203">
        <f t="shared" si="52"/>
        <v>0</v>
      </c>
      <c r="K55" s="241">
        <f>N55*0.23</f>
        <v>0</v>
      </c>
      <c r="L55" s="241">
        <f t="shared" si="49"/>
        <v>0</v>
      </c>
      <c r="M55" s="241">
        <f>N55*0.06</f>
        <v>0</v>
      </c>
      <c r="N55" s="242">
        <f t="shared" si="50"/>
        <v>0</v>
      </c>
      <c r="O55" s="243">
        <v>0</v>
      </c>
      <c r="P55" s="244">
        <v>0</v>
      </c>
      <c r="Q55" s="245">
        <v>0</v>
      </c>
      <c r="R55" s="246"/>
      <c r="S55" s="92">
        <v>0</v>
      </c>
      <c r="T55" s="240">
        <v>0</v>
      </c>
      <c r="U55" s="209">
        <f t="shared" si="55"/>
        <v>0</v>
      </c>
      <c r="V55" s="247">
        <v>0</v>
      </c>
      <c r="W55" s="211">
        <f t="shared" si="51"/>
        <v>0</v>
      </c>
      <c r="X55" s="212">
        <v>0</v>
      </c>
      <c r="Y55" s="72">
        <v>0</v>
      </c>
    </row>
    <row r="56" spans="1:25" ht="22.5" x14ac:dyDescent="0.2">
      <c r="A56" s="248">
        <v>4531</v>
      </c>
      <c r="B56" s="249" t="s">
        <v>107</v>
      </c>
      <c r="C56" s="136"/>
      <c r="D56" s="137"/>
      <c r="E56" s="138">
        <v>0</v>
      </c>
      <c r="F56" s="138">
        <v>0</v>
      </c>
      <c r="G56" s="138">
        <v>0</v>
      </c>
      <c r="H56" s="356">
        <v>0</v>
      </c>
      <c r="I56" s="348">
        <v>0</v>
      </c>
      <c r="J56" s="349">
        <v>0</v>
      </c>
      <c r="K56" s="241">
        <v>0</v>
      </c>
      <c r="L56" s="241">
        <v>0</v>
      </c>
      <c r="M56" s="241">
        <v>0</v>
      </c>
      <c r="N56" s="242">
        <v>0</v>
      </c>
      <c r="O56" s="252">
        <v>0</v>
      </c>
      <c r="P56" s="139"/>
      <c r="Q56" s="253"/>
      <c r="R56" s="254"/>
      <c r="S56" s="92">
        <v>20000</v>
      </c>
      <c r="T56" s="138">
        <v>0</v>
      </c>
      <c r="U56" s="209"/>
      <c r="V56" s="255"/>
      <c r="W56" s="211"/>
      <c r="X56" s="212"/>
      <c r="Y56" s="72">
        <v>0</v>
      </c>
    </row>
    <row r="57" spans="1:25" x14ac:dyDescent="0.2">
      <c r="A57" s="248">
        <v>5445</v>
      </c>
      <c r="B57" s="249" t="s">
        <v>70</v>
      </c>
      <c r="C57" s="136">
        <v>0</v>
      </c>
      <c r="D57" s="137">
        <v>0</v>
      </c>
      <c r="E57" s="250">
        <v>232152.75</v>
      </c>
      <c r="F57" s="250">
        <v>165739.46</v>
      </c>
      <c r="G57" s="250">
        <v>175088.37</v>
      </c>
      <c r="H57" s="356">
        <v>184964.76</v>
      </c>
      <c r="I57" s="251">
        <v>0</v>
      </c>
      <c r="J57" s="241">
        <v>105450</v>
      </c>
      <c r="K57" s="241">
        <v>42550</v>
      </c>
      <c r="L57" s="241">
        <v>24872</v>
      </c>
      <c r="M57" s="241">
        <v>10659</v>
      </c>
      <c r="N57" s="242">
        <f t="shared" si="50"/>
        <v>196000</v>
      </c>
      <c r="O57" s="252">
        <v>0</v>
      </c>
      <c r="P57" s="139"/>
      <c r="Q57" s="253"/>
      <c r="R57" s="254"/>
      <c r="S57" s="92">
        <v>196000</v>
      </c>
      <c r="T57" s="250">
        <v>195398.21</v>
      </c>
      <c r="U57" s="209">
        <f t="shared" si="55"/>
        <v>0</v>
      </c>
      <c r="V57" s="255">
        <v>0</v>
      </c>
      <c r="W57" s="211">
        <f t="shared" si="51"/>
        <v>195398.21</v>
      </c>
      <c r="X57" s="212">
        <f t="shared" si="3"/>
        <v>99.692964285714282</v>
      </c>
      <c r="Y57" s="72">
        <f t="shared" si="4"/>
        <v>105.64077719453154</v>
      </c>
    </row>
    <row r="58" spans="1:25" x14ac:dyDescent="0.2">
      <c r="A58" s="248">
        <v>3423</v>
      </c>
      <c r="B58" s="249" t="s">
        <v>71</v>
      </c>
      <c r="C58" s="136">
        <v>0</v>
      </c>
      <c r="D58" s="137">
        <v>0</v>
      </c>
      <c r="E58" s="250">
        <v>0</v>
      </c>
      <c r="F58" s="250">
        <v>46936.9</v>
      </c>
      <c r="G58" s="250">
        <v>37587.99</v>
      </c>
      <c r="H58" s="356">
        <v>27711.599999999999</v>
      </c>
      <c r="I58" s="251">
        <v>0</v>
      </c>
      <c r="J58" s="241">
        <v>17100</v>
      </c>
      <c r="K58" s="241">
        <v>6900</v>
      </c>
      <c r="L58" s="241">
        <v>4200</v>
      </c>
      <c r="M58" s="241">
        <v>1800</v>
      </c>
      <c r="N58" s="242">
        <f t="shared" si="50"/>
        <v>19000</v>
      </c>
      <c r="O58" s="252">
        <v>0</v>
      </c>
      <c r="P58" s="139"/>
      <c r="Q58" s="253"/>
      <c r="R58" s="254"/>
      <c r="S58" s="92">
        <v>19000</v>
      </c>
      <c r="T58" s="250">
        <v>17278.150000000001</v>
      </c>
      <c r="U58" s="209">
        <f t="shared" si="55"/>
        <v>0</v>
      </c>
      <c r="V58" s="255">
        <v>0</v>
      </c>
      <c r="W58" s="211">
        <f t="shared" si="51"/>
        <v>17278.150000000001</v>
      </c>
      <c r="X58" s="212">
        <f t="shared" si="3"/>
        <v>90.937631578947375</v>
      </c>
      <c r="Y58" s="72">
        <v>0</v>
      </c>
    </row>
    <row r="59" spans="1:25" x14ac:dyDescent="0.2">
      <c r="A59" s="248">
        <v>3299</v>
      </c>
      <c r="B59" s="249" t="s">
        <v>72</v>
      </c>
      <c r="C59" s="136">
        <v>0</v>
      </c>
      <c r="D59" s="137">
        <v>0</v>
      </c>
      <c r="E59" s="250">
        <v>8705.73</v>
      </c>
      <c r="F59" s="250">
        <v>0</v>
      </c>
      <c r="G59" s="250">
        <v>0</v>
      </c>
      <c r="H59" s="356">
        <v>0</v>
      </c>
      <c r="I59" s="251">
        <v>0</v>
      </c>
      <c r="J59" s="241">
        <f t="shared" ref="J59" si="56">N59*0.57</f>
        <v>0</v>
      </c>
      <c r="K59" s="241">
        <f t="shared" ref="K59" si="57">N59*0.23</f>
        <v>0</v>
      </c>
      <c r="L59" s="241">
        <f t="shared" ref="L59" si="58">N59*0.14</f>
        <v>0</v>
      </c>
      <c r="M59" s="241">
        <f t="shared" ref="M59" si="59">N59*0.06</f>
        <v>0</v>
      </c>
      <c r="N59" s="242">
        <f t="shared" si="50"/>
        <v>0</v>
      </c>
      <c r="O59" s="252">
        <v>0</v>
      </c>
      <c r="P59" s="139"/>
      <c r="Q59" s="253"/>
      <c r="R59" s="254"/>
      <c r="S59" s="92">
        <v>0</v>
      </c>
      <c r="T59" s="250">
        <v>0</v>
      </c>
      <c r="U59" s="209">
        <f t="shared" si="55"/>
        <v>0</v>
      </c>
      <c r="V59" s="255">
        <v>0</v>
      </c>
      <c r="W59" s="211">
        <f t="shared" si="51"/>
        <v>0</v>
      </c>
      <c r="X59" s="212">
        <v>0</v>
      </c>
      <c r="Y59" s="72">
        <v>0</v>
      </c>
    </row>
    <row r="60" spans="1:25" ht="28.5" customHeight="1" thickBot="1" x14ac:dyDescent="0.25">
      <c r="A60" s="256" t="s">
        <v>73</v>
      </c>
      <c r="B60" s="257" t="s">
        <v>74</v>
      </c>
      <c r="C60" s="258">
        <f t="shared" ref="C60:J60" si="60">SUM(C49:C59)</f>
        <v>194779.46000000002</v>
      </c>
      <c r="D60" s="259">
        <f t="shared" si="60"/>
        <v>270393.57</v>
      </c>
      <c r="E60" s="260">
        <f t="shared" si="60"/>
        <v>1497761.98</v>
      </c>
      <c r="F60" s="260">
        <f t="shared" si="60"/>
        <v>351165.9</v>
      </c>
      <c r="G60" s="260">
        <f>SUM(G49:G59)</f>
        <v>692267.66999999993</v>
      </c>
      <c r="H60" s="357">
        <f>SUM(H49:H59)</f>
        <v>356703.26</v>
      </c>
      <c r="I60" s="261">
        <f t="shared" si="60"/>
        <v>0</v>
      </c>
      <c r="J60" s="262">
        <f t="shared" si="60"/>
        <v>201780</v>
      </c>
      <c r="K60" s="262">
        <f t="shared" ref="K60:N60" si="61">SUM(K49:K59)</f>
        <v>81420</v>
      </c>
      <c r="L60" s="262">
        <f t="shared" si="61"/>
        <v>48532</v>
      </c>
      <c r="M60" s="262">
        <f t="shared" si="61"/>
        <v>20799</v>
      </c>
      <c r="N60" s="262">
        <f t="shared" si="61"/>
        <v>354000</v>
      </c>
      <c r="O60" s="263">
        <f>SUM(O49:O59)</f>
        <v>54125</v>
      </c>
      <c r="P60" s="264">
        <f t="shared" ref="P60:R60" si="62">SUM(P53:P55)</f>
        <v>50000</v>
      </c>
      <c r="Q60" s="264">
        <f t="shared" si="62"/>
        <v>50000</v>
      </c>
      <c r="R60" s="265">
        <f t="shared" si="62"/>
        <v>0</v>
      </c>
      <c r="S60" s="266">
        <f>SUM(S49:S59)</f>
        <v>428125</v>
      </c>
      <c r="T60" s="260">
        <f>SUM(T49:T59)</f>
        <v>415979.29000000004</v>
      </c>
      <c r="U60" s="267">
        <f>SUM(U49:U59)</f>
        <v>66582.5</v>
      </c>
      <c r="V60" s="268">
        <f>SUM(V53:V59)</f>
        <v>0</v>
      </c>
      <c r="W60" s="269">
        <f>SUM(W49:W59)</f>
        <v>349396.79000000004</v>
      </c>
      <c r="X60" s="270">
        <f t="shared" si="3"/>
        <v>97.163045839416057</v>
      </c>
      <c r="Y60" s="350">
        <f t="shared" si="4"/>
        <v>116.61774271421012</v>
      </c>
    </row>
    <row r="61" spans="1:25" ht="14.25" customHeight="1" thickBot="1" x14ac:dyDescent="0.25">
      <c r="A61" s="271"/>
      <c r="B61" s="272" t="s">
        <v>75</v>
      </c>
      <c r="C61" s="273">
        <f t="shared" ref="C61:H61" si="63">C48+C60</f>
        <v>7703432.6100000013</v>
      </c>
      <c r="D61" s="274">
        <f t="shared" si="63"/>
        <v>8035248.2000000011</v>
      </c>
      <c r="E61" s="275">
        <f t="shared" si="63"/>
        <v>9323435.5999999996</v>
      </c>
      <c r="F61" s="275">
        <f t="shared" si="63"/>
        <v>8266027.6800000006</v>
      </c>
      <c r="G61" s="275">
        <f t="shared" si="63"/>
        <v>7895667.3799999999</v>
      </c>
      <c r="H61" s="285">
        <f t="shared" si="63"/>
        <v>7679191.9799999995</v>
      </c>
      <c r="I61" s="276">
        <f>I48</f>
        <v>4212501</v>
      </c>
      <c r="J61" s="277">
        <f t="shared" ref="J61:W61" si="64">J48+J60</f>
        <v>2629124.4299999997</v>
      </c>
      <c r="K61" s="277">
        <f t="shared" si="64"/>
        <v>1060874.77</v>
      </c>
      <c r="L61" s="277">
        <f t="shared" si="64"/>
        <v>644721.8600000001</v>
      </c>
      <c r="M61" s="277">
        <f>M48+M60</f>
        <v>276308.93999999994</v>
      </c>
      <c r="N61" s="278">
        <f t="shared" si="64"/>
        <v>4612499</v>
      </c>
      <c r="O61" s="279">
        <f t="shared" si="64"/>
        <v>56125</v>
      </c>
      <c r="P61" s="279">
        <f t="shared" si="64"/>
        <v>7996550</v>
      </c>
      <c r="Q61" s="279">
        <f t="shared" si="64"/>
        <v>8100650</v>
      </c>
      <c r="R61" s="279">
        <f t="shared" si="64"/>
        <v>0</v>
      </c>
      <c r="S61" s="280">
        <f t="shared" si="64"/>
        <v>8901125</v>
      </c>
      <c r="T61" s="275">
        <f t="shared" si="64"/>
        <v>8472178.3900000006</v>
      </c>
      <c r="U61" s="281">
        <f t="shared" si="64"/>
        <v>98098.36</v>
      </c>
      <c r="V61" s="282">
        <f t="shared" si="64"/>
        <v>4212501</v>
      </c>
      <c r="W61" s="283">
        <f t="shared" si="64"/>
        <v>4161579.0300000007</v>
      </c>
      <c r="X61" s="284">
        <f t="shared" si="3"/>
        <v>95.18098431378057</v>
      </c>
      <c r="Y61" s="285">
        <f t="shared" si="4"/>
        <v>110.32643033362477</v>
      </c>
    </row>
    <row r="62" spans="1:25" ht="14.25" hidden="1" customHeight="1" x14ac:dyDescent="0.2">
      <c r="A62" s="286"/>
      <c r="B62" s="287" t="s">
        <v>76</v>
      </c>
      <c r="C62" s="288"/>
      <c r="D62" s="289"/>
      <c r="E62" s="290"/>
      <c r="F62" s="290"/>
      <c r="G62" s="289"/>
      <c r="H62" s="342">
        <f>SUM(H49:H60)</f>
        <v>713406.52</v>
      </c>
      <c r="I62" s="291">
        <f>I48+I61</f>
        <v>8425002</v>
      </c>
      <c r="J62" s="292"/>
      <c r="K62" s="292"/>
      <c r="L62" s="292"/>
      <c r="M62" s="292"/>
      <c r="N62" s="293">
        <f>I61+N61</f>
        <v>8825000</v>
      </c>
      <c r="O62" s="294"/>
      <c r="P62" s="292">
        <f>P61-100000</f>
        <v>7896550</v>
      </c>
      <c r="Q62" s="288">
        <f>Q61-100000</f>
        <v>8000650</v>
      </c>
      <c r="R62" s="288"/>
      <c r="S62" s="295">
        <f>SUM(S53:S61)</f>
        <v>9564250</v>
      </c>
      <c r="T62" s="289"/>
      <c r="U62" s="289"/>
      <c r="V62" s="289"/>
      <c r="W62" s="289"/>
      <c r="X62" s="289"/>
      <c r="Y62" s="289"/>
    </row>
    <row r="63" spans="1:25" ht="12" hidden="1" thickBot="1" x14ac:dyDescent="0.25">
      <c r="A63" s="296"/>
      <c r="B63" s="297" t="s">
        <v>77</v>
      </c>
      <c r="C63" s="83">
        <v>7963147</v>
      </c>
      <c r="D63" s="89"/>
      <c r="E63" s="290"/>
      <c r="F63" s="290"/>
      <c r="G63" s="89"/>
      <c r="H63" s="342"/>
      <c r="I63" s="298">
        <v>0</v>
      </c>
      <c r="J63" s="79"/>
      <c r="K63" s="79"/>
      <c r="L63" s="79"/>
      <c r="M63" s="79"/>
      <c r="N63" s="299">
        <v>8019425</v>
      </c>
      <c r="O63" s="299"/>
      <c r="P63" s="299">
        <v>8610725</v>
      </c>
      <c r="Q63" s="299">
        <v>7675155</v>
      </c>
      <c r="R63" s="299"/>
      <c r="S63" s="300">
        <f>S48+S62</f>
        <v>18037250</v>
      </c>
      <c r="T63" s="89"/>
      <c r="U63" s="89"/>
      <c r="V63" s="89"/>
      <c r="W63" s="89"/>
      <c r="X63" s="89"/>
      <c r="Y63" s="89"/>
    </row>
    <row r="64" spans="1:25" ht="12" hidden="1" thickBot="1" x14ac:dyDescent="0.25">
      <c r="A64" s="296"/>
      <c r="B64" s="297" t="s">
        <v>78</v>
      </c>
      <c r="C64" s="83">
        <f>C62-C63</f>
        <v>-7963147</v>
      </c>
      <c r="D64" s="89"/>
      <c r="E64" s="290"/>
      <c r="F64" s="290"/>
      <c r="G64" s="89"/>
      <c r="H64" s="342"/>
      <c r="I64" s="301">
        <f t="shared" ref="I64" si="65">I62+I63</f>
        <v>8425002</v>
      </c>
      <c r="J64" s="79"/>
      <c r="K64" s="79"/>
      <c r="L64" s="79"/>
      <c r="M64" s="79"/>
      <c r="N64" s="299">
        <f>N62-N63</f>
        <v>805575</v>
      </c>
      <c r="O64" s="299"/>
      <c r="P64" s="299">
        <f>P62-P63</f>
        <v>-714175</v>
      </c>
      <c r="Q64" s="299">
        <f>Q62-Q63</f>
        <v>325495</v>
      </c>
      <c r="R64" s="299"/>
      <c r="S64" s="89"/>
      <c r="T64" s="89"/>
      <c r="U64" s="89"/>
      <c r="V64" s="89"/>
      <c r="W64" s="89"/>
      <c r="X64" s="89"/>
      <c r="Y64" s="89"/>
    </row>
    <row r="65" spans="1:25" hidden="1" x14ac:dyDescent="0.2">
      <c r="A65" s="296"/>
      <c r="B65" s="302" t="s">
        <v>79</v>
      </c>
      <c r="C65" s="83"/>
      <c r="D65" s="89"/>
      <c r="E65" s="89"/>
      <c r="F65" s="89"/>
      <c r="G65" s="89"/>
      <c r="H65" s="343"/>
      <c r="I65" s="299"/>
      <c r="J65" s="79"/>
      <c r="K65" s="79">
        <f>K48/12</f>
        <v>81621.230833333335</v>
      </c>
      <c r="L65" s="79"/>
      <c r="M65" s="79"/>
      <c r="N65" s="299"/>
      <c r="O65" s="299"/>
      <c r="P65" s="299"/>
      <c r="Q65" s="299"/>
      <c r="R65" s="299"/>
      <c r="S65" s="89"/>
      <c r="T65" s="89"/>
      <c r="U65" s="89"/>
      <c r="V65" s="89"/>
      <c r="W65" s="89"/>
      <c r="X65" s="89"/>
      <c r="Y65" s="89"/>
    </row>
    <row r="66" spans="1:25" hidden="1" x14ac:dyDescent="0.2">
      <c r="A66" s="296"/>
      <c r="B66" s="296" t="s">
        <v>80</v>
      </c>
      <c r="C66" s="65"/>
      <c r="D66" s="71"/>
      <c r="E66" s="71"/>
      <c r="F66" s="71"/>
      <c r="G66" s="71"/>
      <c r="H66" s="344"/>
      <c r="I66" s="303">
        <f>I61*0.57</f>
        <v>2401125.5699999998</v>
      </c>
      <c r="J66" s="62"/>
      <c r="K66" s="62"/>
      <c r="L66" s="62"/>
      <c r="M66" s="62"/>
      <c r="N66" s="304">
        <f>N61*0.57</f>
        <v>2629124.4299999997</v>
      </c>
      <c r="O66" s="64"/>
      <c r="P66" s="62"/>
      <c r="Q66" s="305"/>
      <c r="R66" s="305"/>
      <c r="S66" s="71"/>
      <c r="T66" s="71"/>
      <c r="U66" s="71"/>
      <c r="V66" s="71"/>
      <c r="W66" s="71"/>
      <c r="X66" s="71"/>
      <c r="Y66" s="71"/>
    </row>
    <row r="67" spans="1:25" hidden="1" x14ac:dyDescent="0.2">
      <c r="A67" s="296"/>
      <c r="B67" s="296" t="s">
        <v>81</v>
      </c>
      <c r="C67" s="65"/>
      <c r="D67" s="71"/>
      <c r="E67" s="71"/>
      <c r="F67" s="71"/>
      <c r="G67" s="71"/>
      <c r="H67" s="344"/>
      <c r="I67" s="303">
        <f>I61*0.23</f>
        <v>968875.2300000001</v>
      </c>
      <c r="J67" s="62"/>
      <c r="K67" s="62"/>
      <c r="L67" s="62"/>
      <c r="M67" s="62"/>
      <c r="N67" s="304">
        <f>N61*0.23</f>
        <v>1060874.77</v>
      </c>
      <c r="O67" s="64"/>
      <c r="P67" s="62"/>
      <c r="Q67" s="305"/>
      <c r="R67" s="305"/>
      <c r="S67" s="71"/>
      <c r="T67" s="71"/>
      <c r="U67" s="71"/>
      <c r="V67" s="71"/>
      <c r="W67" s="71"/>
      <c r="X67" s="71"/>
      <c r="Y67" s="71"/>
    </row>
    <row r="68" spans="1:25" hidden="1" x14ac:dyDescent="0.2">
      <c r="A68" s="296"/>
      <c r="B68" s="296" t="s">
        <v>82</v>
      </c>
      <c r="C68" s="65"/>
      <c r="D68" s="71"/>
      <c r="E68" s="71"/>
      <c r="F68" s="71"/>
      <c r="G68" s="71"/>
      <c r="H68" s="344"/>
      <c r="I68" s="303">
        <f>I61*0.14</f>
        <v>589750.14</v>
      </c>
      <c r="J68" s="62"/>
      <c r="K68" s="62"/>
      <c r="L68" s="62"/>
      <c r="M68" s="62"/>
      <c r="N68" s="304">
        <f>N61*0.14</f>
        <v>645749.8600000001</v>
      </c>
      <c r="O68" s="64"/>
      <c r="P68" s="62"/>
      <c r="Q68" s="305"/>
      <c r="R68" s="305"/>
      <c r="S68" s="71"/>
      <c r="T68" s="71"/>
      <c r="U68" s="71"/>
      <c r="V68" s="71"/>
      <c r="W68" s="71"/>
      <c r="X68" s="71"/>
      <c r="Y68" s="71"/>
    </row>
    <row r="69" spans="1:25" hidden="1" x14ac:dyDescent="0.2">
      <c r="A69" s="296"/>
      <c r="B69" s="296" t="s">
        <v>83</v>
      </c>
      <c r="C69" s="65"/>
      <c r="D69" s="71"/>
      <c r="E69" s="71"/>
      <c r="F69" s="71"/>
      <c r="G69" s="71"/>
      <c r="H69" s="344"/>
      <c r="I69" s="303">
        <f>I61*0.06</f>
        <v>252750.06</v>
      </c>
      <c r="J69" s="62"/>
      <c r="K69" s="62"/>
      <c r="L69" s="62"/>
      <c r="M69" s="62"/>
      <c r="N69" s="304">
        <f>N61*0.06</f>
        <v>276749.94</v>
      </c>
      <c r="O69" s="64"/>
      <c r="P69" s="62"/>
      <c r="Q69" s="305"/>
      <c r="R69" s="305"/>
      <c r="S69" s="71"/>
      <c r="T69" s="71"/>
      <c r="U69" s="71"/>
      <c r="V69" s="71"/>
      <c r="W69" s="71"/>
      <c r="X69" s="71"/>
      <c r="Y69" s="71"/>
    </row>
    <row r="70" spans="1:25" hidden="1" x14ac:dyDescent="0.2">
      <c r="A70" s="296"/>
      <c r="B70" s="306" t="s">
        <v>84</v>
      </c>
      <c r="C70" s="83"/>
      <c r="D70" s="71"/>
      <c r="E70" s="71"/>
      <c r="F70" s="71"/>
      <c r="G70" s="71"/>
      <c r="H70" s="344"/>
      <c r="I70" s="307">
        <f>SUM(I66:I69)</f>
        <v>4212501</v>
      </c>
      <c r="J70" s="79"/>
      <c r="K70" s="79"/>
      <c r="L70" s="79"/>
      <c r="M70" s="79"/>
      <c r="N70" s="308">
        <f>SUM(N66:N69)</f>
        <v>4612499</v>
      </c>
      <c r="O70" s="64"/>
      <c r="P70" s="62"/>
      <c r="Q70" s="305"/>
      <c r="R70" s="305"/>
      <c r="S70" s="71"/>
      <c r="T70" s="71"/>
      <c r="U70" s="71"/>
      <c r="V70" s="71"/>
      <c r="W70" s="71"/>
      <c r="X70" s="71"/>
      <c r="Y70" s="71"/>
    </row>
    <row r="71" spans="1:25" hidden="1" x14ac:dyDescent="0.2">
      <c r="A71" s="296"/>
      <c r="B71" s="296" t="s">
        <v>85</v>
      </c>
      <c r="C71" s="65"/>
      <c r="D71" s="71"/>
      <c r="E71" s="71"/>
      <c r="F71" s="71"/>
      <c r="G71" s="71"/>
      <c r="H71" s="344"/>
      <c r="I71" s="303">
        <f>I70-I66</f>
        <v>1811375.4300000002</v>
      </c>
      <c r="J71" s="62"/>
      <c r="K71" s="62"/>
      <c r="L71" s="62"/>
      <c r="M71" s="62"/>
      <c r="N71" s="304">
        <f>N70-N66</f>
        <v>1983374.5700000003</v>
      </c>
      <c r="O71" s="64"/>
      <c r="P71" s="62"/>
      <c r="Q71" s="305"/>
      <c r="R71" s="305"/>
      <c r="S71" s="71"/>
      <c r="T71" s="71"/>
      <c r="U71" s="71"/>
      <c r="V71" s="71"/>
      <c r="W71" s="71"/>
      <c r="X71" s="71"/>
      <c r="Y71" s="71"/>
    </row>
    <row r="72" spans="1:25" hidden="1" x14ac:dyDescent="0.2">
      <c r="A72" s="296"/>
      <c r="B72" s="296"/>
      <c r="C72" s="65"/>
      <c r="D72" s="71"/>
      <c r="E72" s="71"/>
      <c r="F72" s="71"/>
      <c r="G72" s="71"/>
      <c r="H72" s="344"/>
      <c r="I72" s="303"/>
      <c r="J72" s="62"/>
      <c r="K72" s="62"/>
      <c r="L72" s="62"/>
      <c r="M72" s="62"/>
      <c r="N72" s="304"/>
      <c r="O72" s="64"/>
      <c r="P72" s="62"/>
      <c r="Q72" s="305"/>
      <c r="R72" s="305"/>
      <c r="S72" s="309" t="s">
        <v>86</v>
      </c>
      <c r="T72" s="71"/>
      <c r="U72" s="71"/>
      <c r="V72" s="71"/>
      <c r="W72" s="71"/>
      <c r="X72" s="71"/>
      <c r="Y72" s="71"/>
    </row>
    <row r="73" spans="1:25" ht="46.5" hidden="1" customHeight="1" x14ac:dyDescent="0.2">
      <c r="A73" s="310"/>
      <c r="B73" s="311" t="s">
        <v>6</v>
      </c>
      <c r="C73" s="312" t="s">
        <v>87</v>
      </c>
      <c r="D73" s="313"/>
      <c r="E73" s="313"/>
      <c r="F73" s="313"/>
      <c r="G73" s="313"/>
      <c r="H73" s="345"/>
      <c r="I73" s="313" t="s">
        <v>88</v>
      </c>
      <c r="J73" s="314" t="s">
        <v>89</v>
      </c>
      <c r="K73" s="314" t="s">
        <v>84</v>
      </c>
      <c r="L73" s="314" t="s">
        <v>90</v>
      </c>
      <c r="M73" s="314" t="s">
        <v>78</v>
      </c>
      <c r="N73" s="315"/>
      <c r="O73" s="316"/>
      <c r="P73" s="314"/>
      <c r="Q73" s="314"/>
      <c r="R73" s="314"/>
      <c r="S73" s="317" t="s">
        <v>91</v>
      </c>
      <c r="T73" s="313"/>
      <c r="U73" s="313"/>
      <c r="V73" s="313"/>
      <c r="W73" s="313"/>
      <c r="X73" s="313"/>
      <c r="Y73" s="313"/>
    </row>
    <row r="74" spans="1:25" ht="15" hidden="1" x14ac:dyDescent="0.2">
      <c r="A74" s="318">
        <v>1</v>
      </c>
      <c r="B74" s="311">
        <v>2</v>
      </c>
      <c r="C74" s="319" t="s">
        <v>92</v>
      </c>
      <c r="D74" s="320"/>
      <c r="E74" s="320"/>
      <c r="F74" s="320"/>
      <c r="G74" s="320"/>
      <c r="H74" s="346"/>
      <c r="I74" s="320"/>
      <c r="J74" s="46" t="s">
        <v>93</v>
      </c>
      <c r="K74" s="46" t="s">
        <v>94</v>
      </c>
      <c r="L74" s="46" t="s">
        <v>95</v>
      </c>
      <c r="M74" s="46" t="s">
        <v>96</v>
      </c>
      <c r="N74" s="321"/>
      <c r="O74" s="48"/>
      <c r="P74" s="46"/>
      <c r="Q74" s="49"/>
      <c r="R74" s="49"/>
      <c r="S74" s="317" t="s">
        <v>97</v>
      </c>
      <c r="T74" s="320"/>
      <c r="U74" s="320"/>
      <c r="V74" s="320"/>
      <c r="W74" s="320"/>
      <c r="X74" s="320"/>
      <c r="Y74" s="320"/>
    </row>
    <row r="75" spans="1:25" ht="12.2" hidden="1" customHeight="1" x14ac:dyDescent="0.2">
      <c r="A75" s="322">
        <v>3111</v>
      </c>
      <c r="B75" s="323" t="s">
        <v>25</v>
      </c>
      <c r="C75" s="324">
        <v>4787693.96</v>
      </c>
      <c r="D75" s="71"/>
      <c r="E75" s="71"/>
      <c r="F75" s="71"/>
      <c r="G75" s="71"/>
      <c r="H75" s="344"/>
      <c r="I75" s="71">
        <v>3657295.3</v>
      </c>
      <c r="J75" s="62">
        <v>420000</v>
      </c>
      <c r="K75" s="62">
        <f>J75*3</f>
        <v>1260000</v>
      </c>
      <c r="L75" s="62">
        <f>I75+K75</f>
        <v>4917295.3</v>
      </c>
      <c r="M75" s="62" t="e">
        <f>L75-#REF!</f>
        <v>#REF!</v>
      </c>
      <c r="N75" s="304"/>
      <c r="O75" s="62"/>
      <c r="P75" s="62"/>
      <c r="Q75" s="65"/>
      <c r="R75" s="65"/>
      <c r="S75" s="317" t="s">
        <v>98</v>
      </c>
      <c r="T75" s="71"/>
      <c r="U75" s="71"/>
      <c r="V75" s="71"/>
      <c r="W75" s="71"/>
      <c r="X75" s="71"/>
      <c r="Y75" s="71"/>
    </row>
    <row r="76" spans="1:25" ht="12.2" hidden="1" customHeight="1" x14ac:dyDescent="0.2">
      <c r="A76" s="325">
        <v>311</v>
      </c>
      <c r="B76" s="326" t="s">
        <v>26</v>
      </c>
      <c r="C76" s="327">
        <f t="shared" ref="C76" si="66">C75</f>
        <v>4787693.96</v>
      </c>
      <c r="D76" s="89"/>
      <c r="E76" s="89"/>
      <c r="F76" s="89"/>
      <c r="G76" s="89"/>
      <c r="H76" s="343"/>
      <c r="I76" s="89">
        <f>I75</f>
        <v>3657295.3</v>
      </c>
      <c r="J76" s="79">
        <f t="shared" ref="J76:M76" si="67">J75</f>
        <v>420000</v>
      </c>
      <c r="K76" s="79">
        <f t="shared" si="67"/>
        <v>1260000</v>
      </c>
      <c r="L76" s="79">
        <f t="shared" si="67"/>
        <v>4917295.3</v>
      </c>
      <c r="M76" s="79" t="e">
        <f t="shared" si="67"/>
        <v>#REF!</v>
      </c>
      <c r="N76" s="308"/>
      <c r="O76" s="82"/>
      <c r="P76" s="82"/>
      <c r="Q76" s="83"/>
      <c r="R76" s="83"/>
      <c r="S76" s="317" t="s">
        <v>99</v>
      </c>
      <c r="T76" s="89"/>
      <c r="U76" s="89"/>
      <c r="V76" s="89"/>
      <c r="W76" s="89"/>
      <c r="X76" s="89"/>
      <c r="Y76" s="89"/>
    </row>
    <row r="77" spans="1:25" ht="12.2" hidden="1" customHeight="1" x14ac:dyDescent="0.2">
      <c r="A77" s="322">
        <v>3131</v>
      </c>
      <c r="B77" s="323" t="s">
        <v>27</v>
      </c>
      <c r="C77" s="324">
        <v>373935.75</v>
      </c>
      <c r="D77" s="71"/>
      <c r="E77" s="71"/>
      <c r="F77" s="71"/>
      <c r="G77" s="71"/>
      <c r="H77" s="344"/>
      <c r="I77" s="71">
        <v>285534.3</v>
      </c>
      <c r="J77" s="62">
        <f>J75*7.84/100</f>
        <v>32928</v>
      </c>
      <c r="K77" s="62">
        <f>J77*3</f>
        <v>98784</v>
      </c>
      <c r="L77" s="62">
        <f>I77+K77</f>
        <v>384318.3</v>
      </c>
      <c r="M77" s="62" t="e">
        <f>L77-#REF!</f>
        <v>#REF!</v>
      </c>
      <c r="N77" s="304"/>
      <c r="O77" s="62"/>
      <c r="P77" s="62"/>
      <c r="Q77" s="65"/>
      <c r="R77" s="65"/>
      <c r="S77" s="317" t="s">
        <v>100</v>
      </c>
      <c r="T77" s="71"/>
      <c r="U77" s="71"/>
      <c r="V77" s="71"/>
      <c r="W77" s="71"/>
      <c r="X77" s="71"/>
      <c r="Y77" s="71"/>
    </row>
    <row r="78" spans="1:25" ht="12.2" hidden="1" customHeight="1" x14ac:dyDescent="0.2">
      <c r="A78" s="322">
        <v>3132</v>
      </c>
      <c r="B78" s="328" t="s">
        <v>28</v>
      </c>
      <c r="C78" s="324">
        <v>742445</v>
      </c>
      <c r="D78" s="71"/>
      <c r="E78" s="71"/>
      <c r="F78" s="71"/>
      <c r="G78" s="71"/>
      <c r="H78" s="344"/>
      <c r="I78" s="71">
        <v>548594.37</v>
      </c>
      <c r="J78" s="62">
        <f>J75*15.5/100</f>
        <v>65100</v>
      </c>
      <c r="K78" s="62">
        <f>J78*3</f>
        <v>195300</v>
      </c>
      <c r="L78" s="62">
        <f>I78+K78</f>
        <v>743894.37</v>
      </c>
      <c r="M78" s="62" t="e">
        <f>L78-#REF!</f>
        <v>#REF!</v>
      </c>
      <c r="N78" s="304"/>
      <c r="O78" s="62"/>
      <c r="P78" s="62"/>
      <c r="Q78" s="65"/>
      <c r="R78" s="65"/>
      <c r="S78" s="317" t="s">
        <v>101</v>
      </c>
      <c r="T78" s="71"/>
      <c r="U78" s="71"/>
      <c r="V78" s="71"/>
      <c r="W78" s="71"/>
      <c r="X78" s="71"/>
      <c r="Y78" s="71"/>
    </row>
    <row r="79" spans="1:25" ht="12.2" hidden="1" customHeight="1" x14ac:dyDescent="0.2">
      <c r="A79" s="322">
        <v>3133</v>
      </c>
      <c r="B79" s="323" t="s">
        <v>29</v>
      </c>
      <c r="C79" s="324">
        <v>81830.100000000006</v>
      </c>
      <c r="D79" s="71"/>
      <c r="E79" s="71"/>
      <c r="F79" s="71"/>
      <c r="G79" s="71"/>
      <c r="H79" s="344"/>
      <c r="I79" s="71">
        <v>62174</v>
      </c>
      <c r="J79" s="62">
        <f>J75*1.7/100</f>
        <v>7140</v>
      </c>
      <c r="K79" s="62">
        <f>J79*3</f>
        <v>21420</v>
      </c>
      <c r="L79" s="62">
        <f>I79+K79</f>
        <v>83594</v>
      </c>
      <c r="M79" s="62" t="e">
        <f>L79-#REF!</f>
        <v>#REF!</v>
      </c>
      <c r="N79" s="304"/>
      <c r="O79" s="62"/>
      <c r="P79" s="62"/>
      <c r="Q79" s="65"/>
      <c r="R79" s="65"/>
      <c r="S79" s="317" t="s">
        <v>102</v>
      </c>
      <c r="T79" s="71"/>
      <c r="U79" s="71"/>
      <c r="V79" s="71"/>
      <c r="W79" s="71"/>
      <c r="X79" s="71"/>
      <c r="Y79" s="71"/>
    </row>
    <row r="80" spans="1:25" ht="12.2" hidden="1" customHeight="1" x14ac:dyDescent="0.2">
      <c r="A80" s="325">
        <v>313</v>
      </c>
      <c r="B80" s="326" t="s">
        <v>30</v>
      </c>
      <c r="C80" s="327">
        <f t="shared" ref="C80" si="68">SUM(C77:C79)</f>
        <v>1198210.8500000001</v>
      </c>
      <c r="D80" s="89"/>
      <c r="E80" s="89"/>
      <c r="F80" s="89"/>
      <c r="G80" s="89"/>
      <c r="H80" s="343"/>
      <c r="I80" s="89">
        <f>SUM(I77:I79)</f>
        <v>896302.66999999993</v>
      </c>
      <c r="J80" s="79">
        <f t="shared" ref="J80:M80" si="69">SUM(J77:J79)</f>
        <v>105168</v>
      </c>
      <c r="K80" s="79">
        <f t="shared" si="69"/>
        <v>315504</v>
      </c>
      <c r="L80" s="79">
        <f t="shared" si="69"/>
        <v>1211806.67</v>
      </c>
      <c r="M80" s="79" t="e">
        <f t="shared" si="69"/>
        <v>#REF!</v>
      </c>
      <c r="N80" s="308"/>
      <c r="O80" s="81"/>
      <c r="P80" s="82"/>
      <c r="Q80" s="83"/>
      <c r="R80" s="83"/>
      <c r="S80" s="317" t="s">
        <v>103</v>
      </c>
      <c r="T80" s="89"/>
      <c r="U80" s="89"/>
      <c r="V80" s="89"/>
      <c r="W80" s="89"/>
      <c r="X80" s="89"/>
      <c r="Y80" s="89"/>
    </row>
    <row r="81" spans="1:25" ht="12.2" hidden="1" customHeight="1" x14ac:dyDescent="0.2">
      <c r="A81" s="322">
        <v>3121</v>
      </c>
      <c r="B81" s="328" t="s">
        <v>31</v>
      </c>
      <c r="C81" s="324">
        <v>296393.5</v>
      </c>
      <c r="D81" s="71"/>
      <c r="E81" s="71"/>
      <c r="F81" s="71"/>
      <c r="G81" s="71"/>
      <c r="H81" s="344"/>
      <c r="I81" s="71">
        <v>204493.61</v>
      </c>
      <c r="J81" s="62">
        <v>0</v>
      </c>
      <c r="K81" s="62">
        <v>175506</v>
      </c>
      <c r="L81" s="62">
        <f>I81+K81</f>
        <v>379999.61</v>
      </c>
      <c r="M81" s="62" t="e">
        <f>L81-#REF!</f>
        <v>#REF!</v>
      </c>
      <c r="N81" s="304"/>
      <c r="O81" s="64"/>
      <c r="P81" s="329"/>
      <c r="Q81" s="330"/>
      <c r="R81" s="330"/>
      <c r="S81" s="71"/>
      <c r="T81" s="71"/>
      <c r="U81" s="71"/>
      <c r="V81" s="71"/>
      <c r="W81" s="71"/>
      <c r="X81" s="71"/>
      <c r="Y81" s="71"/>
    </row>
    <row r="82" spans="1:25" ht="12.2" hidden="1" customHeight="1" x14ac:dyDescent="0.2">
      <c r="A82" s="325">
        <v>312</v>
      </c>
      <c r="B82" s="326" t="s">
        <v>32</v>
      </c>
      <c r="C82" s="327">
        <f t="shared" ref="C82" si="70">C81</f>
        <v>296393.5</v>
      </c>
      <c r="D82" s="89"/>
      <c r="E82" s="89"/>
      <c r="F82" s="89"/>
      <c r="G82" s="89"/>
      <c r="H82" s="343"/>
      <c r="I82" s="89">
        <f t="shared" ref="I82:M82" si="71">I81</f>
        <v>204493.61</v>
      </c>
      <c r="J82" s="79">
        <f t="shared" si="71"/>
        <v>0</v>
      </c>
      <c r="K82" s="79">
        <f t="shared" si="71"/>
        <v>175506</v>
      </c>
      <c r="L82" s="79">
        <f t="shared" si="71"/>
        <v>379999.61</v>
      </c>
      <c r="M82" s="79" t="e">
        <f t="shared" si="71"/>
        <v>#REF!</v>
      </c>
      <c r="N82" s="308"/>
      <c r="O82" s="81"/>
      <c r="P82" s="82"/>
      <c r="Q82" s="83"/>
      <c r="R82" s="83"/>
      <c r="S82" s="89"/>
      <c r="T82" s="89"/>
      <c r="U82" s="89"/>
      <c r="V82" s="89"/>
      <c r="W82" s="89"/>
      <c r="X82" s="89"/>
      <c r="Y82" s="89"/>
    </row>
    <row r="83" spans="1:25" hidden="1" x14ac:dyDescent="0.2">
      <c r="A83" s="331">
        <v>31</v>
      </c>
      <c r="B83" s="331" t="s">
        <v>33</v>
      </c>
      <c r="C83" s="327">
        <f>C76+C80+C82</f>
        <v>6282298.3100000005</v>
      </c>
      <c r="D83" s="89"/>
      <c r="E83" s="89"/>
      <c r="F83" s="89"/>
      <c r="G83" s="89"/>
      <c r="H83" s="343"/>
      <c r="I83" s="89">
        <f>I75+I77+I78+I79+I81</f>
        <v>4758091.58</v>
      </c>
      <c r="J83" s="79">
        <f>J75+J77+J78+J79+J81</f>
        <v>525168</v>
      </c>
      <c r="K83" s="79">
        <f>K75+K77+K78+K79+K81</f>
        <v>1751010</v>
      </c>
      <c r="L83" s="79">
        <f>L75+L77+L78+L79+L81</f>
        <v>6509101.5800000001</v>
      </c>
      <c r="M83" s="79" t="e">
        <f>M75+M77+M78+M79+M81</f>
        <v>#REF!</v>
      </c>
      <c r="N83" s="308"/>
      <c r="O83" s="81"/>
      <c r="P83" s="82"/>
      <c r="Q83" s="83"/>
      <c r="R83" s="83"/>
      <c r="S83" s="89"/>
      <c r="T83" s="89"/>
      <c r="U83" s="89"/>
      <c r="V83" s="89"/>
      <c r="W83" s="89"/>
      <c r="X83" s="89"/>
      <c r="Y83" s="89"/>
    </row>
    <row r="84" spans="1:25" ht="12.2" hidden="1" customHeight="1" x14ac:dyDescent="0.2">
      <c r="A84" s="322">
        <v>3212</v>
      </c>
      <c r="B84" s="328" t="s">
        <v>35</v>
      </c>
      <c r="C84" s="324">
        <v>133970.44</v>
      </c>
      <c r="D84" s="71"/>
      <c r="E84" s="71"/>
      <c r="F84" s="71"/>
      <c r="G84" s="71"/>
      <c r="H84" s="344"/>
      <c r="I84" s="71">
        <v>101680.66</v>
      </c>
      <c r="J84" s="62">
        <v>12400</v>
      </c>
      <c r="K84" s="62">
        <f>J84*3</f>
        <v>37200</v>
      </c>
      <c r="L84" s="62">
        <f>I84+K84</f>
        <v>138880.66</v>
      </c>
      <c r="M84" s="62" t="e">
        <f>L84-#REF!</f>
        <v>#REF!</v>
      </c>
      <c r="N84" s="304"/>
      <c r="O84" s="64"/>
      <c r="P84" s="62"/>
      <c r="Q84" s="62"/>
      <c r="R84" s="62"/>
      <c r="S84" s="71"/>
      <c r="T84" s="71"/>
      <c r="U84" s="71"/>
      <c r="V84" s="71"/>
      <c r="W84" s="71"/>
      <c r="X84" s="71"/>
      <c r="Y84" s="71"/>
    </row>
    <row r="85" spans="1:25" hidden="1" x14ac:dyDescent="0.2">
      <c r="A85" s="296"/>
      <c r="B85" s="296"/>
      <c r="C85" s="65"/>
      <c r="D85" s="71"/>
      <c r="E85" s="71"/>
      <c r="F85" s="71"/>
      <c r="G85" s="71"/>
      <c r="H85" s="344"/>
      <c r="I85" s="303"/>
      <c r="J85" s="62"/>
      <c r="K85" s="62"/>
      <c r="L85" s="62"/>
      <c r="M85" s="62" t="e">
        <f>M83+M84</f>
        <v>#REF!</v>
      </c>
      <c r="N85" s="304"/>
      <c r="O85" s="64"/>
      <c r="P85" s="62"/>
      <c r="Q85" s="305"/>
      <c r="R85" s="305"/>
      <c r="S85" s="71"/>
      <c r="T85" s="71"/>
      <c r="U85" s="71"/>
      <c r="V85" s="71"/>
      <c r="W85" s="71"/>
      <c r="X85" s="71"/>
      <c r="Y85" s="71"/>
    </row>
    <row r="86" spans="1:25" ht="22.5" hidden="1" x14ac:dyDescent="0.2">
      <c r="A86" s="310"/>
      <c r="B86" s="311" t="s">
        <v>6</v>
      </c>
      <c r="C86" s="312" t="s">
        <v>87</v>
      </c>
      <c r="D86" s="71"/>
      <c r="E86" s="71"/>
      <c r="F86" s="71"/>
      <c r="G86" s="71"/>
      <c r="H86" s="344"/>
      <c r="I86" s="313" t="s">
        <v>88</v>
      </c>
      <c r="J86" s="314" t="s">
        <v>89</v>
      </c>
      <c r="K86" s="314" t="s">
        <v>84</v>
      </c>
      <c r="L86" s="314" t="s">
        <v>90</v>
      </c>
      <c r="M86" s="314" t="s">
        <v>78</v>
      </c>
      <c r="N86" s="304"/>
      <c r="O86" s="64"/>
      <c r="P86" s="62"/>
      <c r="Q86" s="305"/>
      <c r="R86" s="305"/>
      <c r="S86" s="71"/>
      <c r="T86" s="71"/>
      <c r="U86" s="71"/>
      <c r="V86" s="71"/>
      <c r="W86" s="71"/>
      <c r="X86" s="71"/>
      <c r="Y86" s="71"/>
    </row>
    <row r="87" spans="1:25" hidden="1" x14ac:dyDescent="0.2">
      <c r="A87" s="318">
        <v>1</v>
      </c>
      <c r="B87" s="311">
        <v>2</v>
      </c>
      <c r="C87" s="319" t="s">
        <v>92</v>
      </c>
      <c r="D87" s="71"/>
      <c r="E87" s="71"/>
      <c r="F87" s="71"/>
      <c r="G87" s="71"/>
      <c r="H87" s="344"/>
      <c r="I87" s="320"/>
      <c r="J87" s="46" t="s">
        <v>93</v>
      </c>
      <c r="K87" s="46" t="s">
        <v>94</v>
      </c>
      <c r="L87" s="46" t="s">
        <v>95</v>
      </c>
      <c r="M87" s="46" t="s">
        <v>96</v>
      </c>
      <c r="N87" s="304"/>
      <c r="O87" s="64"/>
      <c r="P87" s="62"/>
      <c r="Q87" s="305"/>
      <c r="R87" s="305"/>
      <c r="S87" s="71"/>
      <c r="T87" s="71"/>
      <c r="U87" s="71"/>
      <c r="V87" s="71"/>
      <c r="W87" s="71"/>
      <c r="X87" s="71"/>
      <c r="Y87" s="71"/>
    </row>
    <row r="88" spans="1:25" hidden="1" x14ac:dyDescent="0.2">
      <c r="A88" s="322">
        <v>3111</v>
      </c>
      <c r="B88" s="323" t="s">
        <v>25</v>
      </c>
      <c r="C88" s="324">
        <v>4787693.96</v>
      </c>
      <c r="D88" s="71"/>
      <c r="E88" s="71"/>
      <c r="F88" s="71"/>
      <c r="G88" s="71"/>
      <c r="H88" s="344"/>
      <c r="I88" s="71">
        <v>3657295.3</v>
      </c>
      <c r="J88" s="62">
        <v>429300</v>
      </c>
      <c r="K88" s="62">
        <f>J88*3</f>
        <v>1287900</v>
      </c>
      <c r="L88" s="62">
        <f>I88+K88</f>
        <v>4945195.3</v>
      </c>
      <c r="M88" s="62" t="e">
        <f>L88-#REF!</f>
        <v>#REF!</v>
      </c>
      <c r="N88" s="304"/>
      <c r="O88" s="64"/>
      <c r="P88" s="62"/>
      <c r="Q88" s="305"/>
      <c r="R88" s="305"/>
      <c r="S88" s="71"/>
      <c r="T88" s="71"/>
      <c r="U88" s="71"/>
      <c r="V88" s="71"/>
      <c r="W88" s="71"/>
      <c r="X88" s="71"/>
      <c r="Y88" s="71"/>
    </row>
    <row r="89" spans="1:25" hidden="1" x14ac:dyDescent="0.2">
      <c r="A89" s="325">
        <v>311</v>
      </c>
      <c r="B89" s="326" t="s">
        <v>26</v>
      </c>
      <c r="C89" s="327">
        <f t="shared" ref="C89" si="72">C88</f>
        <v>4787693.96</v>
      </c>
      <c r="D89" s="71"/>
      <c r="E89" s="71"/>
      <c r="F89" s="71"/>
      <c r="G89" s="71"/>
      <c r="H89" s="344"/>
      <c r="I89" s="89">
        <f t="shared" ref="I89:M89" si="73">I88</f>
        <v>3657295.3</v>
      </c>
      <c r="J89" s="79">
        <f t="shared" si="73"/>
        <v>429300</v>
      </c>
      <c r="K89" s="79">
        <f t="shared" si="73"/>
        <v>1287900</v>
      </c>
      <c r="L89" s="79">
        <f t="shared" si="73"/>
        <v>4945195.3</v>
      </c>
      <c r="M89" s="79" t="e">
        <f t="shared" si="73"/>
        <v>#REF!</v>
      </c>
      <c r="N89" s="304"/>
      <c r="O89" s="64"/>
      <c r="P89" s="62"/>
      <c r="Q89" s="305"/>
      <c r="R89" s="305"/>
      <c r="S89" s="71"/>
      <c r="T89" s="71"/>
      <c r="U89" s="71"/>
      <c r="V89" s="71"/>
      <c r="W89" s="71"/>
      <c r="X89" s="71"/>
      <c r="Y89" s="71"/>
    </row>
    <row r="90" spans="1:25" hidden="1" x14ac:dyDescent="0.2">
      <c r="A90" s="322">
        <v>3131</v>
      </c>
      <c r="B90" s="323" t="s">
        <v>27</v>
      </c>
      <c r="C90" s="324">
        <v>373935.75</v>
      </c>
      <c r="D90" s="71"/>
      <c r="E90" s="71"/>
      <c r="F90" s="71"/>
      <c r="G90" s="71"/>
      <c r="H90" s="344"/>
      <c r="I90" s="71">
        <v>285534.3</v>
      </c>
      <c r="J90" s="62">
        <f>J88*7.84/100</f>
        <v>33657.120000000003</v>
      </c>
      <c r="K90" s="62">
        <f>J90*3</f>
        <v>100971.36000000002</v>
      </c>
      <c r="L90" s="62">
        <f>I90+K90</f>
        <v>386505.66000000003</v>
      </c>
      <c r="M90" s="62" t="e">
        <f>L90-#REF!</f>
        <v>#REF!</v>
      </c>
      <c r="N90" s="304"/>
      <c r="O90" s="64"/>
      <c r="P90" s="62"/>
      <c r="Q90" s="305"/>
      <c r="R90" s="305"/>
      <c r="S90" s="71"/>
      <c r="T90" s="71"/>
      <c r="U90" s="71"/>
      <c r="V90" s="71"/>
      <c r="W90" s="71"/>
      <c r="X90" s="71"/>
      <c r="Y90" s="71"/>
    </row>
    <row r="91" spans="1:25" hidden="1" x14ac:dyDescent="0.2">
      <c r="A91" s="322">
        <v>3132</v>
      </c>
      <c r="B91" s="328" t="s">
        <v>28</v>
      </c>
      <c r="C91" s="324">
        <v>742445</v>
      </c>
      <c r="D91" s="71"/>
      <c r="E91" s="71"/>
      <c r="F91" s="71"/>
      <c r="G91" s="71"/>
      <c r="H91" s="344"/>
      <c r="I91" s="71">
        <v>548594.37</v>
      </c>
      <c r="J91" s="62">
        <f>J88*15.5/100</f>
        <v>66541.5</v>
      </c>
      <c r="K91" s="62">
        <f>J91*3</f>
        <v>199624.5</v>
      </c>
      <c r="L91" s="62">
        <f>I91+K91</f>
        <v>748218.87</v>
      </c>
      <c r="M91" s="62" t="e">
        <f>L91-#REF!</f>
        <v>#REF!</v>
      </c>
      <c r="N91" s="304"/>
      <c r="O91" s="64"/>
      <c r="P91" s="62"/>
      <c r="Q91" s="305"/>
      <c r="R91" s="305"/>
      <c r="S91" s="71"/>
      <c r="T91" s="71"/>
      <c r="U91" s="71"/>
      <c r="V91" s="71"/>
      <c r="W91" s="71"/>
      <c r="X91" s="71"/>
      <c r="Y91" s="71"/>
    </row>
    <row r="92" spans="1:25" hidden="1" x14ac:dyDescent="0.2">
      <c r="A92" s="322">
        <v>3133</v>
      </c>
      <c r="B92" s="323" t="s">
        <v>29</v>
      </c>
      <c r="C92" s="324">
        <v>81830.100000000006</v>
      </c>
      <c r="D92" s="71"/>
      <c r="E92" s="71"/>
      <c r="F92" s="71"/>
      <c r="G92" s="71"/>
      <c r="H92" s="344"/>
      <c r="I92" s="71">
        <v>62174</v>
      </c>
      <c r="J92" s="62">
        <f>J88*1.7/100</f>
        <v>7298.1</v>
      </c>
      <c r="K92" s="62">
        <f>J92*3</f>
        <v>21894.300000000003</v>
      </c>
      <c r="L92" s="62">
        <f>I92+K92</f>
        <v>84068.3</v>
      </c>
      <c r="M92" s="62" t="e">
        <f>L92-#REF!</f>
        <v>#REF!</v>
      </c>
      <c r="N92" s="304"/>
      <c r="O92" s="64"/>
      <c r="P92" s="62"/>
      <c r="Q92" s="305"/>
      <c r="R92" s="305"/>
      <c r="S92" s="71"/>
      <c r="T92" s="71"/>
      <c r="U92" s="71"/>
      <c r="V92" s="71"/>
      <c r="W92" s="71"/>
      <c r="X92" s="71"/>
      <c r="Y92" s="71"/>
    </row>
    <row r="93" spans="1:25" hidden="1" x14ac:dyDescent="0.2">
      <c r="A93" s="325">
        <v>313</v>
      </c>
      <c r="B93" s="326" t="s">
        <v>30</v>
      </c>
      <c r="C93" s="327">
        <f t="shared" ref="C93" si="74">SUM(C90:C92)</f>
        <v>1198210.8500000001</v>
      </c>
      <c r="D93" s="71"/>
      <c r="E93" s="71"/>
      <c r="F93" s="71"/>
      <c r="G93" s="71"/>
      <c r="H93" s="344"/>
      <c r="I93" s="89">
        <f t="shared" ref="I93:M93" si="75">SUM(I90:I92)</f>
        <v>896302.66999999993</v>
      </c>
      <c r="J93" s="79">
        <f t="shared" si="75"/>
        <v>107496.72</v>
      </c>
      <c r="K93" s="79">
        <f t="shared" si="75"/>
        <v>322490.15999999997</v>
      </c>
      <c r="L93" s="79">
        <f t="shared" si="75"/>
        <v>1218792.83</v>
      </c>
      <c r="M93" s="79" t="e">
        <f t="shared" si="75"/>
        <v>#REF!</v>
      </c>
      <c r="N93" s="304"/>
      <c r="O93" s="64"/>
      <c r="P93" s="62"/>
      <c r="Q93" s="305"/>
      <c r="R93" s="305"/>
      <c r="S93" s="71"/>
      <c r="T93" s="71"/>
      <c r="U93" s="71"/>
      <c r="V93" s="71"/>
      <c r="W93" s="71"/>
      <c r="X93" s="71"/>
      <c r="Y93" s="71"/>
    </row>
    <row r="94" spans="1:25" hidden="1" x14ac:dyDescent="0.2">
      <c r="A94" s="322">
        <v>3121</v>
      </c>
      <c r="B94" s="328" t="s">
        <v>31</v>
      </c>
      <c r="C94" s="324">
        <v>296393.5</v>
      </c>
      <c r="D94" s="71"/>
      <c r="E94" s="71"/>
      <c r="F94" s="71"/>
      <c r="G94" s="71"/>
      <c r="H94" s="344"/>
      <c r="I94" s="71">
        <v>204493.61</v>
      </c>
      <c r="J94" s="62">
        <v>0</v>
      </c>
      <c r="K94" s="62">
        <v>175506</v>
      </c>
      <c r="L94" s="62">
        <f>I94+K94</f>
        <v>379999.61</v>
      </c>
      <c r="M94" s="62" t="e">
        <f>L94-#REF!</f>
        <v>#REF!</v>
      </c>
      <c r="N94" s="304"/>
      <c r="O94" s="64"/>
      <c r="P94" s="62"/>
      <c r="Q94" s="305"/>
      <c r="R94" s="305"/>
      <c r="S94" s="71"/>
      <c r="T94" s="71"/>
      <c r="U94" s="71"/>
      <c r="V94" s="71"/>
      <c r="W94" s="71"/>
      <c r="X94" s="71"/>
      <c r="Y94" s="71"/>
    </row>
    <row r="95" spans="1:25" hidden="1" x14ac:dyDescent="0.2">
      <c r="A95" s="325">
        <v>312</v>
      </c>
      <c r="B95" s="326" t="s">
        <v>32</v>
      </c>
      <c r="C95" s="327">
        <f t="shared" ref="C95" si="76">C94</f>
        <v>296393.5</v>
      </c>
      <c r="D95" s="71"/>
      <c r="E95" s="71"/>
      <c r="F95" s="71"/>
      <c r="G95" s="71"/>
      <c r="H95" s="344"/>
      <c r="I95" s="89">
        <f t="shared" ref="I95:M95" si="77">I94</f>
        <v>204493.61</v>
      </c>
      <c r="J95" s="79">
        <f t="shared" si="77"/>
        <v>0</v>
      </c>
      <c r="K95" s="79">
        <f t="shared" si="77"/>
        <v>175506</v>
      </c>
      <c r="L95" s="79">
        <f t="shared" si="77"/>
        <v>379999.61</v>
      </c>
      <c r="M95" s="79" t="e">
        <f t="shared" si="77"/>
        <v>#REF!</v>
      </c>
      <c r="N95" s="304"/>
      <c r="O95" s="64"/>
      <c r="P95" s="62"/>
      <c r="Q95" s="305"/>
      <c r="R95" s="305"/>
      <c r="S95" s="71"/>
      <c r="T95" s="71"/>
      <c r="U95" s="71"/>
      <c r="V95" s="71"/>
      <c r="W95" s="71"/>
      <c r="X95" s="71"/>
      <c r="Y95" s="71"/>
    </row>
    <row r="96" spans="1:25" hidden="1" x14ac:dyDescent="0.2">
      <c r="A96" s="332">
        <v>31</v>
      </c>
      <c r="B96" s="332" t="s">
        <v>33</v>
      </c>
      <c r="C96" s="333">
        <f>C89+C93+C95</f>
        <v>6282298.3100000005</v>
      </c>
      <c r="H96" s="347"/>
      <c r="I96" s="290">
        <f>I88+I90+I91+I92+I94</f>
        <v>4758091.58</v>
      </c>
      <c r="J96" s="10">
        <f>J88+J90+J91+J92+J94</f>
        <v>536796.72</v>
      </c>
      <c r="K96" s="10">
        <f>K88+K90+K91+K92+K94</f>
        <v>1785896.1600000001</v>
      </c>
      <c r="L96" s="10">
        <f>L88+L90+L91+L92+L94</f>
        <v>6543987.7400000002</v>
      </c>
      <c r="M96" s="10" t="e">
        <f>M88+M90+M91+M92+M94</f>
        <v>#REF!</v>
      </c>
    </row>
    <row r="97" spans="1:13" hidden="1" x14ac:dyDescent="0.2">
      <c r="A97" s="334">
        <v>3212</v>
      </c>
      <c r="B97" s="335" t="s">
        <v>35</v>
      </c>
      <c r="C97" s="336">
        <v>133970.44</v>
      </c>
      <c r="H97" s="347"/>
      <c r="I97" s="3">
        <v>101680.66</v>
      </c>
      <c r="J97" s="5">
        <v>12400</v>
      </c>
      <c r="K97" s="5">
        <f>J97*3</f>
        <v>37200</v>
      </c>
      <c r="L97" s="5">
        <f>I97+K97</f>
        <v>138880.66</v>
      </c>
      <c r="M97" s="5" t="e">
        <f>L97-#REF!</f>
        <v>#REF!</v>
      </c>
    </row>
    <row r="98" spans="1:13" hidden="1" x14ac:dyDescent="0.2">
      <c r="H98" s="347"/>
    </row>
    <row r="99" spans="1:13" hidden="1" x14ac:dyDescent="0.2">
      <c r="H99" s="347"/>
    </row>
    <row r="100" spans="1:13" hidden="1" x14ac:dyDescent="0.2">
      <c r="B100" s="1">
        <v>1</v>
      </c>
    </row>
    <row r="101" spans="1:13" hidden="1" x14ac:dyDescent="0.2">
      <c r="B101" s="1">
        <v>2</v>
      </c>
    </row>
    <row r="102" spans="1:13" hidden="1" x14ac:dyDescent="0.2">
      <c r="B102" s="1">
        <v>3</v>
      </c>
    </row>
    <row r="103" spans="1:13" hidden="1" x14ac:dyDescent="0.2">
      <c r="B103" s="1">
        <v>4</v>
      </c>
    </row>
    <row r="104" spans="1:13" hidden="1" x14ac:dyDescent="0.2">
      <c r="B104" s="1">
        <v>5</v>
      </c>
    </row>
    <row r="105" spans="1:13" hidden="1" x14ac:dyDescent="0.2">
      <c r="B105" s="1">
        <v>6</v>
      </c>
    </row>
    <row r="106" spans="1:13" hidden="1" x14ac:dyDescent="0.2">
      <c r="B106" s="1">
        <v>7</v>
      </c>
    </row>
    <row r="107" spans="1:13" hidden="1" x14ac:dyDescent="0.2">
      <c r="B107" s="1">
        <v>8</v>
      </c>
    </row>
    <row r="108" spans="1:13" hidden="1" x14ac:dyDescent="0.2">
      <c r="B108" s="1">
        <v>9</v>
      </c>
    </row>
    <row r="109" spans="1:13" hidden="1" x14ac:dyDescent="0.2">
      <c r="B109" s="1">
        <f>C109/9</f>
        <v>0.66666666666666663</v>
      </c>
      <c r="C109" s="2">
        <f>B108-B102</f>
        <v>6</v>
      </c>
    </row>
    <row r="110" spans="1:13" hidden="1" x14ac:dyDescent="0.2">
      <c r="B110" s="1">
        <v>10</v>
      </c>
    </row>
    <row r="111" spans="1:13" hidden="1" x14ac:dyDescent="0.2">
      <c r="B111" s="1">
        <v>11</v>
      </c>
    </row>
    <row r="112" spans="1:13" hidden="1" x14ac:dyDescent="0.2">
      <c r="B112" s="1">
        <v>12</v>
      </c>
    </row>
    <row r="114" spans="1:25" x14ac:dyDescent="0.2">
      <c r="I114" s="5"/>
      <c r="N114" s="5"/>
      <c r="O114" s="5"/>
      <c r="Q114" s="5"/>
      <c r="R114" s="5"/>
    </row>
    <row r="115" spans="1:25" x14ac:dyDescent="0.2">
      <c r="I115" s="5"/>
      <c r="N115" s="5"/>
      <c r="O115" s="5"/>
      <c r="Q115" s="5"/>
      <c r="R115" s="5"/>
    </row>
    <row r="116" spans="1:25" s="7" customFormat="1" x14ac:dyDescent="0.2">
      <c r="A116" s="1"/>
      <c r="B116" s="337"/>
      <c r="C116" s="338"/>
      <c r="D116" s="339"/>
      <c r="E116" s="339"/>
      <c r="F116" s="339"/>
      <c r="G116" s="339"/>
      <c r="H116" s="339"/>
      <c r="I116" s="340"/>
      <c r="J116" s="3"/>
      <c r="K116" s="3"/>
      <c r="L116" s="3"/>
      <c r="M116" s="3"/>
      <c r="N116" s="341"/>
      <c r="P116" s="5"/>
      <c r="Q116" s="8"/>
      <c r="R116" s="8"/>
      <c r="S116" s="3"/>
      <c r="T116" s="3"/>
      <c r="U116" s="3"/>
      <c r="V116" s="3"/>
      <c r="W116" s="3"/>
      <c r="X116" s="3"/>
      <c r="Y116" s="3"/>
    </row>
    <row r="117" spans="1:25" s="7" customFormat="1" x14ac:dyDescent="0.2">
      <c r="A117" s="1"/>
      <c r="B117" s="1"/>
      <c r="C117" s="2"/>
      <c r="D117" s="3"/>
      <c r="E117" s="3"/>
      <c r="F117" s="3"/>
      <c r="G117" s="3"/>
      <c r="H117" s="3"/>
      <c r="I117" s="340"/>
      <c r="J117" s="3"/>
      <c r="K117" s="3"/>
      <c r="L117" s="3"/>
      <c r="M117" s="3"/>
      <c r="N117" s="341"/>
      <c r="P117" s="5"/>
      <c r="Q117" s="8"/>
      <c r="R117" s="8"/>
      <c r="S117" s="3"/>
      <c r="T117" s="3"/>
      <c r="U117" s="3"/>
      <c r="V117" s="3"/>
      <c r="W117" s="3"/>
      <c r="X117" s="3"/>
      <c r="Y117" s="3"/>
    </row>
    <row r="118" spans="1:25" s="7" customFormat="1" x14ac:dyDescent="0.2">
      <c r="A118" s="1"/>
      <c r="B118" s="1"/>
      <c r="C118" s="2"/>
      <c r="D118" s="3"/>
      <c r="E118" s="3"/>
      <c r="F118" s="3"/>
      <c r="G118" s="3"/>
      <c r="H118" s="3"/>
      <c r="I118" s="340"/>
      <c r="J118" s="3"/>
      <c r="K118" s="3"/>
      <c r="L118" s="3"/>
      <c r="M118" s="3"/>
      <c r="N118" s="341"/>
      <c r="P118" s="5"/>
      <c r="Q118" s="8"/>
      <c r="R118" s="8"/>
      <c r="S118" s="3"/>
      <c r="T118" s="3"/>
      <c r="U118" s="3"/>
      <c r="V118" s="3"/>
      <c r="W118" s="3"/>
      <c r="X118" s="3"/>
      <c r="Y118" s="3"/>
    </row>
    <row r="119" spans="1:25" s="7" customFormat="1" x14ac:dyDescent="0.2">
      <c r="A119" s="1"/>
      <c r="B119" s="1"/>
      <c r="C119" s="2"/>
      <c r="D119" s="3"/>
      <c r="E119" s="3"/>
      <c r="F119" s="3"/>
      <c r="G119" s="3"/>
      <c r="H119" s="3"/>
      <c r="I119" s="340"/>
      <c r="J119" s="3"/>
      <c r="K119" s="3"/>
      <c r="L119" s="3"/>
      <c r="M119" s="3"/>
      <c r="N119" s="341"/>
      <c r="P119" s="5"/>
      <c r="Q119" s="8"/>
      <c r="R119" s="8"/>
      <c r="S119" s="3"/>
      <c r="T119" s="3"/>
      <c r="U119" s="3"/>
      <c r="V119" s="3"/>
      <c r="W119" s="3"/>
      <c r="X119" s="3"/>
      <c r="Y119" s="3"/>
    </row>
    <row r="120" spans="1:25" s="7" customFormat="1" x14ac:dyDescent="0.2">
      <c r="A120" s="1"/>
      <c r="B120" s="1"/>
      <c r="C120" s="2"/>
      <c r="D120" s="3"/>
      <c r="E120" s="3"/>
      <c r="F120" s="3"/>
      <c r="G120" s="3"/>
      <c r="H120" s="3"/>
      <c r="I120" s="340"/>
      <c r="J120" s="3"/>
      <c r="K120" s="3"/>
      <c r="L120" s="3"/>
      <c r="M120" s="3"/>
      <c r="N120" s="341"/>
      <c r="P120" s="5"/>
      <c r="Q120" s="8"/>
      <c r="R120" s="8"/>
      <c r="S120" s="3"/>
      <c r="T120" s="3"/>
      <c r="U120" s="3"/>
      <c r="V120" s="3"/>
      <c r="W120" s="3"/>
      <c r="X120" s="3"/>
      <c r="Y120" s="3"/>
    </row>
    <row r="121" spans="1:25" s="7" customFormat="1" x14ac:dyDescent="0.2">
      <c r="A121" s="1"/>
      <c r="B121" s="1"/>
      <c r="C121" s="2"/>
      <c r="D121" s="3"/>
      <c r="E121" s="3"/>
      <c r="F121" s="3"/>
      <c r="G121" s="3"/>
      <c r="H121" s="3"/>
      <c r="I121" s="340"/>
      <c r="J121" s="3"/>
      <c r="K121" s="3"/>
      <c r="L121" s="3"/>
      <c r="M121" s="3"/>
      <c r="N121" s="341"/>
      <c r="P121" s="5"/>
      <c r="Q121" s="8"/>
      <c r="R121" s="8"/>
      <c r="S121" s="3"/>
      <c r="T121" s="3"/>
      <c r="U121" s="3"/>
      <c r="V121" s="3"/>
      <c r="W121" s="3"/>
      <c r="X121" s="3"/>
      <c r="Y121" s="3"/>
    </row>
  </sheetData>
  <mergeCells count="5">
    <mergeCell ref="N4:O4"/>
    <mergeCell ref="A5:I5"/>
    <mergeCell ref="J6:Y6"/>
    <mergeCell ref="I8:S8"/>
    <mergeCell ref="T8:Y8"/>
  </mergeCells>
  <pageMargins left="0" right="0" top="0" bottom="0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021F-613C-40A5-9879-C0A0FDEA3898}">
  <sheetPr>
    <tabColor rgb="FFFF0000"/>
    <pageSetUpPr fitToPage="1"/>
  </sheetPr>
  <dimension ref="A1:AE76"/>
  <sheetViews>
    <sheetView topLeftCell="A3" zoomScaleNormal="100" workbookViewId="0">
      <selection activeCell="K67" sqref="K67"/>
    </sheetView>
  </sheetViews>
  <sheetFormatPr defaultRowHeight="11.25" x14ac:dyDescent="0.2"/>
  <cols>
    <col min="1" max="1" width="5.85546875" style="420" customWidth="1"/>
    <col min="2" max="2" width="25.85546875" style="420" customWidth="1"/>
    <col min="3" max="10" width="10.85546875" style="421" customWidth="1"/>
    <col min="11" max="13" width="10" style="422" customWidth="1"/>
    <col min="14" max="14" width="10.5703125" style="422" customWidth="1"/>
    <col min="15" max="15" width="10.5703125" style="763" customWidth="1"/>
    <col min="16" max="16" width="11.85546875" style="592" hidden="1" customWidth="1"/>
    <col min="17" max="17" width="8.7109375" style="423" hidden="1" customWidth="1"/>
    <col min="18" max="18" width="9" style="424" hidden="1" customWidth="1"/>
    <col min="19" max="19" width="8.7109375" style="425" hidden="1" customWidth="1"/>
    <col min="20" max="20" width="8.140625" style="425" hidden="1" customWidth="1"/>
    <col min="21" max="21" width="8" style="425" hidden="1" customWidth="1"/>
    <col min="22" max="22" width="8.85546875" style="425" hidden="1" customWidth="1"/>
    <col min="23" max="23" width="9.85546875" style="425" hidden="1" customWidth="1"/>
    <col min="24" max="24" width="9.42578125" style="426" hidden="1" customWidth="1"/>
    <col min="25" max="25" width="10.5703125" style="426" hidden="1" customWidth="1"/>
    <col min="26" max="26" width="11.28515625" style="420" hidden="1" customWidth="1"/>
    <col min="27" max="27" width="0" style="420" hidden="1" customWidth="1"/>
    <col min="28" max="259" width="9.140625" style="420"/>
    <col min="260" max="260" width="5.85546875" style="420" customWidth="1"/>
    <col min="261" max="261" width="25.85546875" style="420" customWidth="1"/>
    <col min="262" max="269" width="10.85546875" style="420" customWidth="1"/>
    <col min="270" max="271" width="10" style="420" customWidth="1"/>
    <col min="272" max="272" width="11.85546875" style="420" customWidth="1"/>
    <col min="273" max="273" width="8.7109375" style="420" customWidth="1"/>
    <col min="274" max="274" width="9" style="420" customWidth="1"/>
    <col min="275" max="275" width="8.7109375" style="420" customWidth="1"/>
    <col min="276" max="276" width="8.140625" style="420" customWidth="1"/>
    <col min="277" max="277" width="8" style="420" customWidth="1"/>
    <col min="278" max="278" width="8.85546875" style="420" customWidth="1"/>
    <col min="279" max="279" width="9.85546875" style="420" customWidth="1"/>
    <col min="280" max="280" width="9.42578125" style="420" customWidth="1"/>
    <col min="281" max="281" width="10.5703125" style="420" customWidth="1"/>
    <col min="282" max="282" width="11.28515625" style="420" bestFit="1" customWidth="1"/>
    <col min="283" max="515" width="9.140625" style="420"/>
    <col min="516" max="516" width="5.85546875" style="420" customWidth="1"/>
    <col min="517" max="517" width="25.85546875" style="420" customWidth="1"/>
    <col min="518" max="525" width="10.85546875" style="420" customWidth="1"/>
    <col min="526" max="527" width="10" style="420" customWidth="1"/>
    <col min="528" max="528" width="11.85546875" style="420" customWidth="1"/>
    <col min="529" max="529" width="8.7109375" style="420" customWidth="1"/>
    <col min="530" max="530" width="9" style="420" customWidth="1"/>
    <col min="531" max="531" width="8.7109375" style="420" customWidth="1"/>
    <col min="532" max="532" width="8.140625" style="420" customWidth="1"/>
    <col min="533" max="533" width="8" style="420" customWidth="1"/>
    <col min="534" max="534" width="8.85546875" style="420" customWidth="1"/>
    <col min="535" max="535" width="9.85546875" style="420" customWidth="1"/>
    <col min="536" max="536" width="9.42578125" style="420" customWidth="1"/>
    <col min="537" max="537" width="10.5703125" style="420" customWidth="1"/>
    <col min="538" max="538" width="11.28515625" style="420" bestFit="1" customWidth="1"/>
    <col min="539" max="771" width="9.140625" style="420"/>
    <col min="772" max="772" width="5.85546875" style="420" customWidth="1"/>
    <col min="773" max="773" width="25.85546875" style="420" customWidth="1"/>
    <col min="774" max="781" width="10.85546875" style="420" customWidth="1"/>
    <col min="782" max="783" width="10" style="420" customWidth="1"/>
    <col min="784" max="784" width="11.85546875" style="420" customWidth="1"/>
    <col min="785" max="785" width="8.7109375" style="420" customWidth="1"/>
    <col min="786" max="786" width="9" style="420" customWidth="1"/>
    <col min="787" max="787" width="8.7109375" style="420" customWidth="1"/>
    <col min="788" max="788" width="8.140625" style="420" customWidth="1"/>
    <col min="789" max="789" width="8" style="420" customWidth="1"/>
    <col min="790" max="790" width="8.85546875" style="420" customWidth="1"/>
    <col min="791" max="791" width="9.85546875" style="420" customWidth="1"/>
    <col min="792" max="792" width="9.42578125" style="420" customWidth="1"/>
    <col min="793" max="793" width="10.5703125" style="420" customWidth="1"/>
    <col min="794" max="794" width="11.28515625" style="420" bestFit="1" customWidth="1"/>
    <col min="795" max="1027" width="9.140625" style="420"/>
    <col min="1028" max="1028" width="5.85546875" style="420" customWidth="1"/>
    <col min="1029" max="1029" width="25.85546875" style="420" customWidth="1"/>
    <col min="1030" max="1037" width="10.85546875" style="420" customWidth="1"/>
    <col min="1038" max="1039" width="10" style="420" customWidth="1"/>
    <col min="1040" max="1040" width="11.85546875" style="420" customWidth="1"/>
    <col min="1041" max="1041" width="8.7109375" style="420" customWidth="1"/>
    <col min="1042" max="1042" width="9" style="420" customWidth="1"/>
    <col min="1043" max="1043" width="8.7109375" style="420" customWidth="1"/>
    <col min="1044" max="1044" width="8.140625" style="420" customWidth="1"/>
    <col min="1045" max="1045" width="8" style="420" customWidth="1"/>
    <col min="1046" max="1046" width="8.85546875" style="420" customWidth="1"/>
    <col min="1047" max="1047" width="9.85546875" style="420" customWidth="1"/>
    <col min="1048" max="1048" width="9.42578125" style="420" customWidth="1"/>
    <col min="1049" max="1049" width="10.5703125" style="420" customWidth="1"/>
    <col min="1050" max="1050" width="11.28515625" style="420" bestFit="1" customWidth="1"/>
    <col min="1051" max="1283" width="9.140625" style="420"/>
    <col min="1284" max="1284" width="5.85546875" style="420" customWidth="1"/>
    <col min="1285" max="1285" width="25.85546875" style="420" customWidth="1"/>
    <col min="1286" max="1293" width="10.85546875" style="420" customWidth="1"/>
    <col min="1294" max="1295" width="10" style="420" customWidth="1"/>
    <col min="1296" max="1296" width="11.85546875" style="420" customWidth="1"/>
    <col min="1297" max="1297" width="8.7109375" style="420" customWidth="1"/>
    <col min="1298" max="1298" width="9" style="420" customWidth="1"/>
    <col min="1299" max="1299" width="8.7109375" style="420" customWidth="1"/>
    <col min="1300" max="1300" width="8.140625" style="420" customWidth="1"/>
    <col min="1301" max="1301" width="8" style="420" customWidth="1"/>
    <col min="1302" max="1302" width="8.85546875" style="420" customWidth="1"/>
    <col min="1303" max="1303" width="9.85546875" style="420" customWidth="1"/>
    <col min="1304" max="1304" width="9.42578125" style="420" customWidth="1"/>
    <col min="1305" max="1305" width="10.5703125" style="420" customWidth="1"/>
    <col min="1306" max="1306" width="11.28515625" style="420" bestFit="1" customWidth="1"/>
    <col min="1307" max="1539" width="9.140625" style="420"/>
    <col min="1540" max="1540" width="5.85546875" style="420" customWidth="1"/>
    <col min="1541" max="1541" width="25.85546875" style="420" customWidth="1"/>
    <col min="1542" max="1549" width="10.85546875" style="420" customWidth="1"/>
    <col min="1550" max="1551" width="10" style="420" customWidth="1"/>
    <col min="1552" max="1552" width="11.85546875" style="420" customWidth="1"/>
    <col min="1553" max="1553" width="8.7109375" style="420" customWidth="1"/>
    <col min="1554" max="1554" width="9" style="420" customWidth="1"/>
    <col min="1555" max="1555" width="8.7109375" style="420" customWidth="1"/>
    <col min="1556" max="1556" width="8.140625" style="420" customWidth="1"/>
    <col min="1557" max="1557" width="8" style="420" customWidth="1"/>
    <col min="1558" max="1558" width="8.85546875" style="420" customWidth="1"/>
    <col min="1559" max="1559" width="9.85546875" style="420" customWidth="1"/>
    <col min="1560" max="1560" width="9.42578125" style="420" customWidth="1"/>
    <col min="1561" max="1561" width="10.5703125" style="420" customWidth="1"/>
    <col min="1562" max="1562" width="11.28515625" style="420" bestFit="1" customWidth="1"/>
    <col min="1563" max="1795" width="9.140625" style="420"/>
    <col min="1796" max="1796" width="5.85546875" style="420" customWidth="1"/>
    <col min="1797" max="1797" width="25.85546875" style="420" customWidth="1"/>
    <col min="1798" max="1805" width="10.85546875" style="420" customWidth="1"/>
    <col min="1806" max="1807" width="10" style="420" customWidth="1"/>
    <col min="1808" max="1808" width="11.85546875" style="420" customWidth="1"/>
    <col min="1809" max="1809" width="8.7109375" style="420" customWidth="1"/>
    <col min="1810" max="1810" width="9" style="420" customWidth="1"/>
    <col min="1811" max="1811" width="8.7109375" style="420" customWidth="1"/>
    <col min="1812" max="1812" width="8.140625" style="420" customWidth="1"/>
    <col min="1813" max="1813" width="8" style="420" customWidth="1"/>
    <col min="1814" max="1814" width="8.85546875" style="420" customWidth="1"/>
    <col min="1815" max="1815" width="9.85546875" style="420" customWidth="1"/>
    <col min="1816" max="1816" width="9.42578125" style="420" customWidth="1"/>
    <col min="1817" max="1817" width="10.5703125" style="420" customWidth="1"/>
    <col min="1818" max="1818" width="11.28515625" style="420" bestFit="1" customWidth="1"/>
    <col min="1819" max="2051" width="9.140625" style="420"/>
    <col min="2052" max="2052" width="5.85546875" style="420" customWidth="1"/>
    <col min="2053" max="2053" width="25.85546875" style="420" customWidth="1"/>
    <col min="2054" max="2061" width="10.85546875" style="420" customWidth="1"/>
    <col min="2062" max="2063" width="10" style="420" customWidth="1"/>
    <col min="2064" max="2064" width="11.85546875" style="420" customWidth="1"/>
    <col min="2065" max="2065" width="8.7109375" style="420" customWidth="1"/>
    <col min="2066" max="2066" width="9" style="420" customWidth="1"/>
    <col min="2067" max="2067" width="8.7109375" style="420" customWidth="1"/>
    <col min="2068" max="2068" width="8.140625" style="420" customWidth="1"/>
    <col min="2069" max="2069" width="8" style="420" customWidth="1"/>
    <col min="2070" max="2070" width="8.85546875" style="420" customWidth="1"/>
    <col min="2071" max="2071" width="9.85546875" style="420" customWidth="1"/>
    <col min="2072" max="2072" width="9.42578125" style="420" customWidth="1"/>
    <col min="2073" max="2073" width="10.5703125" style="420" customWidth="1"/>
    <col min="2074" max="2074" width="11.28515625" style="420" bestFit="1" customWidth="1"/>
    <col min="2075" max="2307" width="9.140625" style="420"/>
    <col min="2308" max="2308" width="5.85546875" style="420" customWidth="1"/>
    <col min="2309" max="2309" width="25.85546875" style="420" customWidth="1"/>
    <col min="2310" max="2317" width="10.85546875" style="420" customWidth="1"/>
    <col min="2318" max="2319" width="10" style="420" customWidth="1"/>
    <col min="2320" max="2320" width="11.85546875" style="420" customWidth="1"/>
    <col min="2321" max="2321" width="8.7109375" style="420" customWidth="1"/>
    <col min="2322" max="2322" width="9" style="420" customWidth="1"/>
    <col min="2323" max="2323" width="8.7109375" style="420" customWidth="1"/>
    <col min="2324" max="2324" width="8.140625" style="420" customWidth="1"/>
    <col min="2325" max="2325" width="8" style="420" customWidth="1"/>
    <col min="2326" max="2326" width="8.85546875" style="420" customWidth="1"/>
    <col min="2327" max="2327" width="9.85546875" style="420" customWidth="1"/>
    <col min="2328" max="2328" width="9.42578125" style="420" customWidth="1"/>
    <col min="2329" max="2329" width="10.5703125" style="420" customWidth="1"/>
    <col min="2330" max="2330" width="11.28515625" style="420" bestFit="1" customWidth="1"/>
    <col min="2331" max="2563" width="9.140625" style="420"/>
    <col min="2564" max="2564" width="5.85546875" style="420" customWidth="1"/>
    <col min="2565" max="2565" width="25.85546875" style="420" customWidth="1"/>
    <col min="2566" max="2573" width="10.85546875" style="420" customWidth="1"/>
    <col min="2574" max="2575" width="10" style="420" customWidth="1"/>
    <col min="2576" max="2576" width="11.85546875" style="420" customWidth="1"/>
    <col min="2577" max="2577" width="8.7109375" style="420" customWidth="1"/>
    <col min="2578" max="2578" width="9" style="420" customWidth="1"/>
    <col min="2579" max="2579" width="8.7109375" style="420" customWidth="1"/>
    <col min="2580" max="2580" width="8.140625" style="420" customWidth="1"/>
    <col min="2581" max="2581" width="8" style="420" customWidth="1"/>
    <col min="2582" max="2582" width="8.85546875" style="420" customWidth="1"/>
    <col min="2583" max="2583" width="9.85546875" style="420" customWidth="1"/>
    <col min="2584" max="2584" width="9.42578125" style="420" customWidth="1"/>
    <col min="2585" max="2585" width="10.5703125" style="420" customWidth="1"/>
    <col min="2586" max="2586" width="11.28515625" style="420" bestFit="1" customWidth="1"/>
    <col min="2587" max="2819" width="9.140625" style="420"/>
    <col min="2820" max="2820" width="5.85546875" style="420" customWidth="1"/>
    <col min="2821" max="2821" width="25.85546875" style="420" customWidth="1"/>
    <col min="2822" max="2829" width="10.85546875" style="420" customWidth="1"/>
    <col min="2830" max="2831" width="10" style="420" customWidth="1"/>
    <col min="2832" max="2832" width="11.85546875" style="420" customWidth="1"/>
    <col min="2833" max="2833" width="8.7109375" style="420" customWidth="1"/>
    <col min="2834" max="2834" width="9" style="420" customWidth="1"/>
    <col min="2835" max="2835" width="8.7109375" style="420" customWidth="1"/>
    <col min="2836" max="2836" width="8.140625" style="420" customWidth="1"/>
    <col min="2837" max="2837" width="8" style="420" customWidth="1"/>
    <col min="2838" max="2838" width="8.85546875" style="420" customWidth="1"/>
    <col min="2839" max="2839" width="9.85546875" style="420" customWidth="1"/>
    <col min="2840" max="2840" width="9.42578125" style="420" customWidth="1"/>
    <col min="2841" max="2841" width="10.5703125" style="420" customWidth="1"/>
    <col min="2842" max="2842" width="11.28515625" style="420" bestFit="1" customWidth="1"/>
    <col min="2843" max="3075" width="9.140625" style="420"/>
    <col min="3076" max="3076" width="5.85546875" style="420" customWidth="1"/>
    <col min="3077" max="3077" width="25.85546875" style="420" customWidth="1"/>
    <col min="3078" max="3085" width="10.85546875" style="420" customWidth="1"/>
    <col min="3086" max="3087" width="10" style="420" customWidth="1"/>
    <col min="3088" max="3088" width="11.85546875" style="420" customWidth="1"/>
    <col min="3089" max="3089" width="8.7109375" style="420" customWidth="1"/>
    <col min="3090" max="3090" width="9" style="420" customWidth="1"/>
    <col min="3091" max="3091" width="8.7109375" style="420" customWidth="1"/>
    <col min="3092" max="3092" width="8.140625" style="420" customWidth="1"/>
    <col min="3093" max="3093" width="8" style="420" customWidth="1"/>
    <col min="3094" max="3094" width="8.85546875" style="420" customWidth="1"/>
    <col min="3095" max="3095" width="9.85546875" style="420" customWidth="1"/>
    <col min="3096" max="3096" width="9.42578125" style="420" customWidth="1"/>
    <col min="3097" max="3097" width="10.5703125" style="420" customWidth="1"/>
    <col min="3098" max="3098" width="11.28515625" style="420" bestFit="1" customWidth="1"/>
    <col min="3099" max="3331" width="9.140625" style="420"/>
    <col min="3332" max="3332" width="5.85546875" style="420" customWidth="1"/>
    <col min="3333" max="3333" width="25.85546875" style="420" customWidth="1"/>
    <col min="3334" max="3341" width="10.85546875" style="420" customWidth="1"/>
    <col min="3342" max="3343" width="10" style="420" customWidth="1"/>
    <col min="3344" max="3344" width="11.85546875" style="420" customWidth="1"/>
    <col min="3345" max="3345" width="8.7109375" style="420" customWidth="1"/>
    <col min="3346" max="3346" width="9" style="420" customWidth="1"/>
    <col min="3347" max="3347" width="8.7109375" style="420" customWidth="1"/>
    <col min="3348" max="3348" width="8.140625" style="420" customWidth="1"/>
    <col min="3349" max="3349" width="8" style="420" customWidth="1"/>
    <col min="3350" max="3350" width="8.85546875" style="420" customWidth="1"/>
    <col min="3351" max="3351" width="9.85546875" style="420" customWidth="1"/>
    <col min="3352" max="3352" width="9.42578125" style="420" customWidth="1"/>
    <col min="3353" max="3353" width="10.5703125" style="420" customWidth="1"/>
    <col min="3354" max="3354" width="11.28515625" style="420" bestFit="1" customWidth="1"/>
    <col min="3355" max="3587" width="9.140625" style="420"/>
    <col min="3588" max="3588" width="5.85546875" style="420" customWidth="1"/>
    <col min="3589" max="3589" width="25.85546875" style="420" customWidth="1"/>
    <col min="3590" max="3597" width="10.85546875" style="420" customWidth="1"/>
    <col min="3598" max="3599" width="10" style="420" customWidth="1"/>
    <col min="3600" max="3600" width="11.85546875" style="420" customWidth="1"/>
    <col min="3601" max="3601" width="8.7109375" style="420" customWidth="1"/>
    <col min="3602" max="3602" width="9" style="420" customWidth="1"/>
    <col min="3603" max="3603" width="8.7109375" style="420" customWidth="1"/>
    <col min="3604" max="3604" width="8.140625" style="420" customWidth="1"/>
    <col min="3605" max="3605" width="8" style="420" customWidth="1"/>
    <col min="3606" max="3606" width="8.85546875" style="420" customWidth="1"/>
    <col min="3607" max="3607" width="9.85546875" style="420" customWidth="1"/>
    <col min="3608" max="3608" width="9.42578125" style="420" customWidth="1"/>
    <col min="3609" max="3609" width="10.5703125" style="420" customWidth="1"/>
    <col min="3610" max="3610" width="11.28515625" style="420" bestFit="1" customWidth="1"/>
    <col min="3611" max="3843" width="9.140625" style="420"/>
    <col min="3844" max="3844" width="5.85546875" style="420" customWidth="1"/>
    <col min="3845" max="3845" width="25.85546875" style="420" customWidth="1"/>
    <col min="3846" max="3853" width="10.85546875" style="420" customWidth="1"/>
    <col min="3854" max="3855" width="10" style="420" customWidth="1"/>
    <col min="3856" max="3856" width="11.85546875" style="420" customWidth="1"/>
    <col min="3857" max="3857" width="8.7109375" style="420" customWidth="1"/>
    <col min="3858" max="3858" width="9" style="420" customWidth="1"/>
    <col min="3859" max="3859" width="8.7109375" style="420" customWidth="1"/>
    <col min="3860" max="3860" width="8.140625" style="420" customWidth="1"/>
    <col min="3861" max="3861" width="8" style="420" customWidth="1"/>
    <col min="3862" max="3862" width="8.85546875" style="420" customWidth="1"/>
    <col min="3863" max="3863" width="9.85546875" style="420" customWidth="1"/>
    <col min="3864" max="3864" width="9.42578125" style="420" customWidth="1"/>
    <col min="3865" max="3865" width="10.5703125" style="420" customWidth="1"/>
    <col min="3866" max="3866" width="11.28515625" style="420" bestFit="1" customWidth="1"/>
    <col min="3867" max="4099" width="9.140625" style="420"/>
    <col min="4100" max="4100" width="5.85546875" style="420" customWidth="1"/>
    <col min="4101" max="4101" width="25.85546875" style="420" customWidth="1"/>
    <col min="4102" max="4109" width="10.85546875" style="420" customWidth="1"/>
    <col min="4110" max="4111" width="10" style="420" customWidth="1"/>
    <col min="4112" max="4112" width="11.85546875" style="420" customWidth="1"/>
    <col min="4113" max="4113" width="8.7109375" style="420" customWidth="1"/>
    <col min="4114" max="4114" width="9" style="420" customWidth="1"/>
    <col min="4115" max="4115" width="8.7109375" style="420" customWidth="1"/>
    <col min="4116" max="4116" width="8.140625" style="420" customWidth="1"/>
    <col min="4117" max="4117" width="8" style="420" customWidth="1"/>
    <col min="4118" max="4118" width="8.85546875" style="420" customWidth="1"/>
    <col min="4119" max="4119" width="9.85546875" style="420" customWidth="1"/>
    <col min="4120" max="4120" width="9.42578125" style="420" customWidth="1"/>
    <col min="4121" max="4121" width="10.5703125" style="420" customWidth="1"/>
    <col min="4122" max="4122" width="11.28515625" style="420" bestFit="1" customWidth="1"/>
    <col min="4123" max="4355" width="9.140625" style="420"/>
    <col min="4356" max="4356" width="5.85546875" style="420" customWidth="1"/>
    <col min="4357" max="4357" width="25.85546875" style="420" customWidth="1"/>
    <col min="4358" max="4365" width="10.85546875" style="420" customWidth="1"/>
    <col min="4366" max="4367" width="10" style="420" customWidth="1"/>
    <col min="4368" max="4368" width="11.85546875" style="420" customWidth="1"/>
    <col min="4369" max="4369" width="8.7109375" style="420" customWidth="1"/>
    <col min="4370" max="4370" width="9" style="420" customWidth="1"/>
    <col min="4371" max="4371" width="8.7109375" style="420" customWidth="1"/>
    <col min="4372" max="4372" width="8.140625" style="420" customWidth="1"/>
    <col min="4373" max="4373" width="8" style="420" customWidth="1"/>
    <col min="4374" max="4374" width="8.85546875" style="420" customWidth="1"/>
    <col min="4375" max="4375" width="9.85546875" style="420" customWidth="1"/>
    <col min="4376" max="4376" width="9.42578125" style="420" customWidth="1"/>
    <col min="4377" max="4377" width="10.5703125" style="420" customWidth="1"/>
    <col min="4378" max="4378" width="11.28515625" style="420" bestFit="1" customWidth="1"/>
    <col min="4379" max="4611" width="9.140625" style="420"/>
    <col min="4612" max="4612" width="5.85546875" style="420" customWidth="1"/>
    <col min="4613" max="4613" width="25.85546875" style="420" customWidth="1"/>
    <col min="4614" max="4621" width="10.85546875" style="420" customWidth="1"/>
    <col min="4622" max="4623" width="10" style="420" customWidth="1"/>
    <col min="4624" max="4624" width="11.85546875" style="420" customWidth="1"/>
    <col min="4625" max="4625" width="8.7109375" style="420" customWidth="1"/>
    <col min="4626" max="4626" width="9" style="420" customWidth="1"/>
    <col min="4627" max="4627" width="8.7109375" style="420" customWidth="1"/>
    <col min="4628" max="4628" width="8.140625" style="420" customWidth="1"/>
    <col min="4629" max="4629" width="8" style="420" customWidth="1"/>
    <col min="4630" max="4630" width="8.85546875" style="420" customWidth="1"/>
    <col min="4631" max="4631" width="9.85546875" style="420" customWidth="1"/>
    <col min="4632" max="4632" width="9.42578125" style="420" customWidth="1"/>
    <col min="4633" max="4633" width="10.5703125" style="420" customWidth="1"/>
    <col min="4634" max="4634" width="11.28515625" style="420" bestFit="1" customWidth="1"/>
    <col min="4635" max="4867" width="9.140625" style="420"/>
    <col min="4868" max="4868" width="5.85546875" style="420" customWidth="1"/>
    <col min="4869" max="4869" width="25.85546875" style="420" customWidth="1"/>
    <col min="4870" max="4877" width="10.85546875" style="420" customWidth="1"/>
    <col min="4878" max="4879" width="10" style="420" customWidth="1"/>
    <col min="4880" max="4880" width="11.85546875" style="420" customWidth="1"/>
    <col min="4881" max="4881" width="8.7109375" style="420" customWidth="1"/>
    <col min="4882" max="4882" width="9" style="420" customWidth="1"/>
    <col min="4883" max="4883" width="8.7109375" style="420" customWidth="1"/>
    <col min="4884" max="4884" width="8.140625" style="420" customWidth="1"/>
    <col min="4885" max="4885" width="8" style="420" customWidth="1"/>
    <col min="4886" max="4886" width="8.85546875" style="420" customWidth="1"/>
    <col min="4887" max="4887" width="9.85546875" style="420" customWidth="1"/>
    <col min="4888" max="4888" width="9.42578125" style="420" customWidth="1"/>
    <col min="4889" max="4889" width="10.5703125" style="420" customWidth="1"/>
    <col min="4890" max="4890" width="11.28515625" style="420" bestFit="1" customWidth="1"/>
    <col min="4891" max="5123" width="9.140625" style="420"/>
    <col min="5124" max="5124" width="5.85546875" style="420" customWidth="1"/>
    <col min="5125" max="5125" width="25.85546875" style="420" customWidth="1"/>
    <col min="5126" max="5133" width="10.85546875" style="420" customWidth="1"/>
    <col min="5134" max="5135" width="10" style="420" customWidth="1"/>
    <col min="5136" max="5136" width="11.85546875" style="420" customWidth="1"/>
    <col min="5137" max="5137" width="8.7109375" style="420" customWidth="1"/>
    <col min="5138" max="5138" width="9" style="420" customWidth="1"/>
    <col min="5139" max="5139" width="8.7109375" style="420" customWidth="1"/>
    <col min="5140" max="5140" width="8.140625" style="420" customWidth="1"/>
    <col min="5141" max="5141" width="8" style="420" customWidth="1"/>
    <col min="5142" max="5142" width="8.85546875" style="420" customWidth="1"/>
    <col min="5143" max="5143" width="9.85546875" style="420" customWidth="1"/>
    <col min="5144" max="5144" width="9.42578125" style="420" customWidth="1"/>
    <col min="5145" max="5145" width="10.5703125" style="420" customWidth="1"/>
    <col min="5146" max="5146" width="11.28515625" style="420" bestFit="1" customWidth="1"/>
    <col min="5147" max="5379" width="9.140625" style="420"/>
    <col min="5380" max="5380" width="5.85546875" style="420" customWidth="1"/>
    <col min="5381" max="5381" width="25.85546875" style="420" customWidth="1"/>
    <col min="5382" max="5389" width="10.85546875" style="420" customWidth="1"/>
    <col min="5390" max="5391" width="10" style="420" customWidth="1"/>
    <col min="5392" max="5392" width="11.85546875" style="420" customWidth="1"/>
    <col min="5393" max="5393" width="8.7109375" style="420" customWidth="1"/>
    <col min="5394" max="5394" width="9" style="420" customWidth="1"/>
    <col min="5395" max="5395" width="8.7109375" style="420" customWidth="1"/>
    <col min="5396" max="5396" width="8.140625" style="420" customWidth="1"/>
    <col min="5397" max="5397" width="8" style="420" customWidth="1"/>
    <col min="5398" max="5398" width="8.85546875" style="420" customWidth="1"/>
    <col min="5399" max="5399" width="9.85546875" style="420" customWidth="1"/>
    <col min="5400" max="5400" width="9.42578125" style="420" customWidth="1"/>
    <col min="5401" max="5401" width="10.5703125" style="420" customWidth="1"/>
    <col min="5402" max="5402" width="11.28515625" style="420" bestFit="1" customWidth="1"/>
    <col min="5403" max="5635" width="9.140625" style="420"/>
    <col min="5636" max="5636" width="5.85546875" style="420" customWidth="1"/>
    <col min="5637" max="5637" width="25.85546875" style="420" customWidth="1"/>
    <col min="5638" max="5645" width="10.85546875" style="420" customWidth="1"/>
    <col min="5646" max="5647" width="10" style="420" customWidth="1"/>
    <col min="5648" max="5648" width="11.85546875" style="420" customWidth="1"/>
    <col min="5649" max="5649" width="8.7109375" style="420" customWidth="1"/>
    <col min="5650" max="5650" width="9" style="420" customWidth="1"/>
    <col min="5651" max="5651" width="8.7109375" style="420" customWidth="1"/>
    <col min="5652" max="5652" width="8.140625" style="420" customWidth="1"/>
    <col min="5653" max="5653" width="8" style="420" customWidth="1"/>
    <col min="5654" max="5654" width="8.85546875" style="420" customWidth="1"/>
    <col min="5655" max="5655" width="9.85546875" style="420" customWidth="1"/>
    <col min="5656" max="5656" width="9.42578125" style="420" customWidth="1"/>
    <col min="5657" max="5657" width="10.5703125" style="420" customWidth="1"/>
    <col min="5658" max="5658" width="11.28515625" style="420" bestFit="1" customWidth="1"/>
    <col min="5659" max="5891" width="9.140625" style="420"/>
    <col min="5892" max="5892" width="5.85546875" style="420" customWidth="1"/>
    <col min="5893" max="5893" width="25.85546875" style="420" customWidth="1"/>
    <col min="5894" max="5901" width="10.85546875" style="420" customWidth="1"/>
    <col min="5902" max="5903" width="10" style="420" customWidth="1"/>
    <col min="5904" max="5904" width="11.85546875" style="420" customWidth="1"/>
    <col min="5905" max="5905" width="8.7109375" style="420" customWidth="1"/>
    <col min="5906" max="5906" width="9" style="420" customWidth="1"/>
    <col min="5907" max="5907" width="8.7109375" style="420" customWidth="1"/>
    <col min="5908" max="5908" width="8.140625" style="420" customWidth="1"/>
    <col min="5909" max="5909" width="8" style="420" customWidth="1"/>
    <col min="5910" max="5910" width="8.85546875" style="420" customWidth="1"/>
    <col min="5911" max="5911" width="9.85546875" style="420" customWidth="1"/>
    <col min="5912" max="5912" width="9.42578125" style="420" customWidth="1"/>
    <col min="5913" max="5913" width="10.5703125" style="420" customWidth="1"/>
    <col min="5914" max="5914" width="11.28515625" style="420" bestFit="1" customWidth="1"/>
    <col min="5915" max="6147" width="9.140625" style="420"/>
    <col min="6148" max="6148" width="5.85546875" style="420" customWidth="1"/>
    <col min="6149" max="6149" width="25.85546875" style="420" customWidth="1"/>
    <col min="6150" max="6157" width="10.85546875" style="420" customWidth="1"/>
    <col min="6158" max="6159" width="10" style="420" customWidth="1"/>
    <col min="6160" max="6160" width="11.85546875" style="420" customWidth="1"/>
    <col min="6161" max="6161" width="8.7109375" style="420" customWidth="1"/>
    <col min="6162" max="6162" width="9" style="420" customWidth="1"/>
    <col min="6163" max="6163" width="8.7109375" style="420" customWidth="1"/>
    <col min="6164" max="6164" width="8.140625" style="420" customWidth="1"/>
    <col min="6165" max="6165" width="8" style="420" customWidth="1"/>
    <col min="6166" max="6166" width="8.85546875" style="420" customWidth="1"/>
    <col min="6167" max="6167" width="9.85546875" style="420" customWidth="1"/>
    <col min="6168" max="6168" width="9.42578125" style="420" customWidth="1"/>
    <col min="6169" max="6169" width="10.5703125" style="420" customWidth="1"/>
    <col min="6170" max="6170" width="11.28515625" style="420" bestFit="1" customWidth="1"/>
    <col min="6171" max="6403" width="9.140625" style="420"/>
    <col min="6404" max="6404" width="5.85546875" style="420" customWidth="1"/>
    <col min="6405" max="6405" width="25.85546875" style="420" customWidth="1"/>
    <col min="6406" max="6413" width="10.85546875" style="420" customWidth="1"/>
    <col min="6414" max="6415" width="10" style="420" customWidth="1"/>
    <col min="6416" max="6416" width="11.85546875" style="420" customWidth="1"/>
    <col min="6417" max="6417" width="8.7109375" style="420" customWidth="1"/>
    <col min="6418" max="6418" width="9" style="420" customWidth="1"/>
    <col min="6419" max="6419" width="8.7109375" style="420" customWidth="1"/>
    <col min="6420" max="6420" width="8.140625" style="420" customWidth="1"/>
    <col min="6421" max="6421" width="8" style="420" customWidth="1"/>
    <col min="6422" max="6422" width="8.85546875" style="420" customWidth="1"/>
    <col min="6423" max="6423" width="9.85546875" style="420" customWidth="1"/>
    <col min="6424" max="6424" width="9.42578125" style="420" customWidth="1"/>
    <col min="6425" max="6425" width="10.5703125" style="420" customWidth="1"/>
    <col min="6426" max="6426" width="11.28515625" style="420" bestFit="1" customWidth="1"/>
    <col min="6427" max="6659" width="9.140625" style="420"/>
    <col min="6660" max="6660" width="5.85546875" style="420" customWidth="1"/>
    <col min="6661" max="6661" width="25.85546875" style="420" customWidth="1"/>
    <col min="6662" max="6669" width="10.85546875" style="420" customWidth="1"/>
    <col min="6670" max="6671" width="10" style="420" customWidth="1"/>
    <col min="6672" max="6672" width="11.85546875" style="420" customWidth="1"/>
    <col min="6673" max="6673" width="8.7109375" style="420" customWidth="1"/>
    <col min="6674" max="6674" width="9" style="420" customWidth="1"/>
    <col min="6675" max="6675" width="8.7109375" style="420" customWidth="1"/>
    <col min="6676" max="6676" width="8.140625" style="420" customWidth="1"/>
    <col min="6677" max="6677" width="8" style="420" customWidth="1"/>
    <col min="6678" max="6678" width="8.85546875" style="420" customWidth="1"/>
    <col min="6679" max="6679" width="9.85546875" style="420" customWidth="1"/>
    <col min="6680" max="6680" width="9.42578125" style="420" customWidth="1"/>
    <col min="6681" max="6681" width="10.5703125" style="420" customWidth="1"/>
    <col min="6682" max="6682" width="11.28515625" style="420" bestFit="1" customWidth="1"/>
    <col min="6683" max="6915" width="9.140625" style="420"/>
    <col min="6916" max="6916" width="5.85546875" style="420" customWidth="1"/>
    <col min="6917" max="6917" width="25.85546875" style="420" customWidth="1"/>
    <col min="6918" max="6925" width="10.85546875" style="420" customWidth="1"/>
    <col min="6926" max="6927" width="10" style="420" customWidth="1"/>
    <col min="6928" max="6928" width="11.85546875" style="420" customWidth="1"/>
    <col min="6929" max="6929" width="8.7109375" style="420" customWidth="1"/>
    <col min="6930" max="6930" width="9" style="420" customWidth="1"/>
    <col min="6931" max="6931" width="8.7109375" style="420" customWidth="1"/>
    <col min="6932" max="6932" width="8.140625" style="420" customWidth="1"/>
    <col min="6933" max="6933" width="8" style="420" customWidth="1"/>
    <col min="6934" max="6934" width="8.85546875" style="420" customWidth="1"/>
    <col min="6935" max="6935" width="9.85546875" style="420" customWidth="1"/>
    <col min="6936" max="6936" width="9.42578125" style="420" customWidth="1"/>
    <col min="6937" max="6937" width="10.5703125" style="420" customWidth="1"/>
    <col min="6938" max="6938" width="11.28515625" style="420" bestFit="1" customWidth="1"/>
    <col min="6939" max="7171" width="9.140625" style="420"/>
    <col min="7172" max="7172" width="5.85546875" style="420" customWidth="1"/>
    <col min="7173" max="7173" width="25.85546875" style="420" customWidth="1"/>
    <col min="7174" max="7181" width="10.85546875" style="420" customWidth="1"/>
    <col min="7182" max="7183" width="10" style="420" customWidth="1"/>
    <col min="7184" max="7184" width="11.85546875" style="420" customWidth="1"/>
    <col min="7185" max="7185" width="8.7109375" style="420" customWidth="1"/>
    <col min="7186" max="7186" width="9" style="420" customWidth="1"/>
    <col min="7187" max="7187" width="8.7109375" style="420" customWidth="1"/>
    <col min="7188" max="7188" width="8.140625" style="420" customWidth="1"/>
    <col min="7189" max="7189" width="8" style="420" customWidth="1"/>
    <col min="7190" max="7190" width="8.85546875" style="420" customWidth="1"/>
    <col min="7191" max="7191" width="9.85546875" style="420" customWidth="1"/>
    <col min="7192" max="7192" width="9.42578125" style="420" customWidth="1"/>
    <col min="7193" max="7193" width="10.5703125" style="420" customWidth="1"/>
    <col min="7194" max="7194" width="11.28515625" style="420" bestFit="1" customWidth="1"/>
    <col min="7195" max="7427" width="9.140625" style="420"/>
    <col min="7428" max="7428" width="5.85546875" style="420" customWidth="1"/>
    <col min="7429" max="7429" width="25.85546875" style="420" customWidth="1"/>
    <col min="7430" max="7437" width="10.85546875" style="420" customWidth="1"/>
    <col min="7438" max="7439" width="10" style="420" customWidth="1"/>
    <col min="7440" max="7440" width="11.85546875" style="420" customWidth="1"/>
    <col min="7441" max="7441" width="8.7109375" style="420" customWidth="1"/>
    <col min="7442" max="7442" width="9" style="420" customWidth="1"/>
    <col min="7443" max="7443" width="8.7109375" style="420" customWidth="1"/>
    <col min="7444" max="7444" width="8.140625" style="420" customWidth="1"/>
    <col min="7445" max="7445" width="8" style="420" customWidth="1"/>
    <col min="7446" max="7446" width="8.85546875" style="420" customWidth="1"/>
    <col min="7447" max="7447" width="9.85546875" style="420" customWidth="1"/>
    <col min="7448" max="7448" width="9.42578125" style="420" customWidth="1"/>
    <col min="7449" max="7449" width="10.5703125" style="420" customWidth="1"/>
    <col min="7450" max="7450" width="11.28515625" style="420" bestFit="1" customWidth="1"/>
    <col min="7451" max="7683" width="9.140625" style="420"/>
    <col min="7684" max="7684" width="5.85546875" style="420" customWidth="1"/>
    <col min="7685" max="7685" width="25.85546875" style="420" customWidth="1"/>
    <col min="7686" max="7693" width="10.85546875" style="420" customWidth="1"/>
    <col min="7694" max="7695" width="10" style="420" customWidth="1"/>
    <col min="7696" max="7696" width="11.85546875" style="420" customWidth="1"/>
    <col min="7697" max="7697" width="8.7109375" style="420" customWidth="1"/>
    <col min="7698" max="7698" width="9" style="420" customWidth="1"/>
    <col min="7699" max="7699" width="8.7109375" style="420" customWidth="1"/>
    <col min="7700" max="7700" width="8.140625" style="420" customWidth="1"/>
    <col min="7701" max="7701" width="8" style="420" customWidth="1"/>
    <col min="7702" max="7702" width="8.85546875" style="420" customWidth="1"/>
    <col min="7703" max="7703" width="9.85546875" style="420" customWidth="1"/>
    <col min="7704" max="7704" width="9.42578125" style="420" customWidth="1"/>
    <col min="7705" max="7705" width="10.5703125" style="420" customWidth="1"/>
    <col min="7706" max="7706" width="11.28515625" style="420" bestFit="1" customWidth="1"/>
    <col min="7707" max="7939" width="9.140625" style="420"/>
    <col min="7940" max="7940" width="5.85546875" style="420" customWidth="1"/>
    <col min="7941" max="7941" width="25.85546875" style="420" customWidth="1"/>
    <col min="7942" max="7949" width="10.85546875" style="420" customWidth="1"/>
    <col min="7950" max="7951" width="10" style="420" customWidth="1"/>
    <col min="7952" max="7952" width="11.85546875" style="420" customWidth="1"/>
    <col min="7953" max="7953" width="8.7109375" style="420" customWidth="1"/>
    <col min="7954" max="7954" width="9" style="420" customWidth="1"/>
    <col min="7955" max="7955" width="8.7109375" style="420" customWidth="1"/>
    <col min="7956" max="7956" width="8.140625" style="420" customWidth="1"/>
    <col min="7957" max="7957" width="8" style="420" customWidth="1"/>
    <col min="7958" max="7958" width="8.85546875" style="420" customWidth="1"/>
    <col min="7959" max="7959" width="9.85546875" style="420" customWidth="1"/>
    <col min="7960" max="7960" width="9.42578125" style="420" customWidth="1"/>
    <col min="7961" max="7961" width="10.5703125" style="420" customWidth="1"/>
    <col min="7962" max="7962" width="11.28515625" style="420" bestFit="1" customWidth="1"/>
    <col min="7963" max="8195" width="9.140625" style="420"/>
    <col min="8196" max="8196" width="5.85546875" style="420" customWidth="1"/>
    <col min="8197" max="8197" width="25.85546875" style="420" customWidth="1"/>
    <col min="8198" max="8205" width="10.85546875" style="420" customWidth="1"/>
    <col min="8206" max="8207" width="10" style="420" customWidth="1"/>
    <col min="8208" max="8208" width="11.85546875" style="420" customWidth="1"/>
    <col min="8209" max="8209" width="8.7109375" style="420" customWidth="1"/>
    <col min="8210" max="8210" width="9" style="420" customWidth="1"/>
    <col min="8211" max="8211" width="8.7109375" style="420" customWidth="1"/>
    <col min="8212" max="8212" width="8.140625" style="420" customWidth="1"/>
    <col min="8213" max="8213" width="8" style="420" customWidth="1"/>
    <col min="8214" max="8214" width="8.85546875" style="420" customWidth="1"/>
    <col min="8215" max="8215" width="9.85546875" style="420" customWidth="1"/>
    <col min="8216" max="8216" width="9.42578125" style="420" customWidth="1"/>
    <col min="8217" max="8217" width="10.5703125" style="420" customWidth="1"/>
    <col min="8218" max="8218" width="11.28515625" style="420" bestFit="1" customWidth="1"/>
    <col min="8219" max="8451" width="9.140625" style="420"/>
    <col min="8452" max="8452" width="5.85546875" style="420" customWidth="1"/>
    <col min="8453" max="8453" width="25.85546875" style="420" customWidth="1"/>
    <col min="8454" max="8461" width="10.85546875" style="420" customWidth="1"/>
    <col min="8462" max="8463" width="10" style="420" customWidth="1"/>
    <col min="8464" max="8464" width="11.85546875" style="420" customWidth="1"/>
    <col min="8465" max="8465" width="8.7109375" style="420" customWidth="1"/>
    <col min="8466" max="8466" width="9" style="420" customWidth="1"/>
    <col min="8467" max="8467" width="8.7109375" style="420" customWidth="1"/>
    <col min="8468" max="8468" width="8.140625" style="420" customWidth="1"/>
    <col min="8469" max="8469" width="8" style="420" customWidth="1"/>
    <col min="8470" max="8470" width="8.85546875" style="420" customWidth="1"/>
    <col min="8471" max="8471" width="9.85546875" style="420" customWidth="1"/>
    <col min="8472" max="8472" width="9.42578125" style="420" customWidth="1"/>
    <col min="8473" max="8473" width="10.5703125" style="420" customWidth="1"/>
    <col min="8474" max="8474" width="11.28515625" style="420" bestFit="1" customWidth="1"/>
    <col min="8475" max="8707" width="9.140625" style="420"/>
    <col min="8708" max="8708" width="5.85546875" style="420" customWidth="1"/>
    <col min="8709" max="8709" width="25.85546875" style="420" customWidth="1"/>
    <col min="8710" max="8717" width="10.85546875" style="420" customWidth="1"/>
    <col min="8718" max="8719" width="10" style="420" customWidth="1"/>
    <col min="8720" max="8720" width="11.85546875" style="420" customWidth="1"/>
    <col min="8721" max="8721" width="8.7109375" style="420" customWidth="1"/>
    <col min="8722" max="8722" width="9" style="420" customWidth="1"/>
    <col min="8723" max="8723" width="8.7109375" style="420" customWidth="1"/>
    <col min="8724" max="8724" width="8.140625" style="420" customWidth="1"/>
    <col min="8725" max="8725" width="8" style="420" customWidth="1"/>
    <col min="8726" max="8726" width="8.85546875" style="420" customWidth="1"/>
    <col min="8727" max="8727" width="9.85546875" style="420" customWidth="1"/>
    <col min="8728" max="8728" width="9.42578125" style="420" customWidth="1"/>
    <col min="8729" max="8729" width="10.5703125" style="420" customWidth="1"/>
    <col min="8730" max="8730" width="11.28515625" style="420" bestFit="1" customWidth="1"/>
    <col min="8731" max="8963" width="9.140625" style="420"/>
    <col min="8964" max="8964" width="5.85546875" style="420" customWidth="1"/>
    <col min="8965" max="8965" width="25.85546875" style="420" customWidth="1"/>
    <col min="8966" max="8973" width="10.85546875" style="420" customWidth="1"/>
    <col min="8974" max="8975" width="10" style="420" customWidth="1"/>
    <col min="8976" max="8976" width="11.85546875" style="420" customWidth="1"/>
    <col min="8977" max="8977" width="8.7109375" style="420" customWidth="1"/>
    <col min="8978" max="8978" width="9" style="420" customWidth="1"/>
    <col min="8979" max="8979" width="8.7109375" style="420" customWidth="1"/>
    <col min="8980" max="8980" width="8.140625" style="420" customWidth="1"/>
    <col min="8981" max="8981" width="8" style="420" customWidth="1"/>
    <col min="8982" max="8982" width="8.85546875" style="420" customWidth="1"/>
    <col min="8983" max="8983" width="9.85546875" style="420" customWidth="1"/>
    <col min="8984" max="8984" width="9.42578125" style="420" customWidth="1"/>
    <col min="8985" max="8985" width="10.5703125" style="420" customWidth="1"/>
    <col min="8986" max="8986" width="11.28515625" style="420" bestFit="1" customWidth="1"/>
    <col min="8987" max="9219" width="9.140625" style="420"/>
    <col min="9220" max="9220" width="5.85546875" style="420" customWidth="1"/>
    <col min="9221" max="9221" width="25.85546875" style="420" customWidth="1"/>
    <col min="9222" max="9229" width="10.85546875" style="420" customWidth="1"/>
    <col min="9230" max="9231" width="10" style="420" customWidth="1"/>
    <col min="9232" max="9232" width="11.85546875" style="420" customWidth="1"/>
    <col min="9233" max="9233" width="8.7109375" style="420" customWidth="1"/>
    <col min="9234" max="9234" width="9" style="420" customWidth="1"/>
    <col min="9235" max="9235" width="8.7109375" style="420" customWidth="1"/>
    <col min="9236" max="9236" width="8.140625" style="420" customWidth="1"/>
    <col min="9237" max="9237" width="8" style="420" customWidth="1"/>
    <col min="9238" max="9238" width="8.85546875" style="420" customWidth="1"/>
    <col min="9239" max="9239" width="9.85546875" style="420" customWidth="1"/>
    <col min="9240" max="9240" width="9.42578125" style="420" customWidth="1"/>
    <col min="9241" max="9241" width="10.5703125" style="420" customWidth="1"/>
    <col min="9242" max="9242" width="11.28515625" style="420" bestFit="1" customWidth="1"/>
    <col min="9243" max="9475" width="9.140625" style="420"/>
    <col min="9476" max="9476" width="5.85546875" style="420" customWidth="1"/>
    <col min="9477" max="9477" width="25.85546875" style="420" customWidth="1"/>
    <col min="9478" max="9485" width="10.85546875" style="420" customWidth="1"/>
    <col min="9486" max="9487" width="10" style="420" customWidth="1"/>
    <col min="9488" max="9488" width="11.85546875" style="420" customWidth="1"/>
    <col min="9489" max="9489" width="8.7109375" style="420" customWidth="1"/>
    <col min="9490" max="9490" width="9" style="420" customWidth="1"/>
    <col min="9491" max="9491" width="8.7109375" style="420" customWidth="1"/>
    <col min="9492" max="9492" width="8.140625" style="420" customWidth="1"/>
    <col min="9493" max="9493" width="8" style="420" customWidth="1"/>
    <col min="9494" max="9494" width="8.85546875" style="420" customWidth="1"/>
    <col min="9495" max="9495" width="9.85546875" style="420" customWidth="1"/>
    <col min="9496" max="9496" width="9.42578125" style="420" customWidth="1"/>
    <col min="9497" max="9497" width="10.5703125" style="420" customWidth="1"/>
    <col min="9498" max="9498" width="11.28515625" style="420" bestFit="1" customWidth="1"/>
    <col min="9499" max="9731" width="9.140625" style="420"/>
    <col min="9732" max="9732" width="5.85546875" style="420" customWidth="1"/>
    <col min="9733" max="9733" width="25.85546875" style="420" customWidth="1"/>
    <col min="9734" max="9741" width="10.85546875" style="420" customWidth="1"/>
    <col min="9742" max="9743" width="10" style="420" customWidth="1"/>
    <col min="9744" max="9744" width="11.85546875" style="420" customWidth="1"/>
    <col min="9745" max="9745" width="8.7109375" style="420" customWidth="1"/>
    <col min="9746" max="9746" width="9" style="420" customWidth="1"/>
    <col min="9747" max="9747" width="8.7109375" style="420" customWidth="1"/>
    <col min="9748" max="9748" width="8.140625" style="420" customWidth="1"/>
    <col min="9749" max="9749" width="8" style="420" customWidth="1"/>
    <col min="9750" max="9750" width="8.85546875" style="420" customWidth="1"/>
    <col min="9751" max="9751" width="9.85546875" style="420" customWidth="1"/>
    <col min="9752" max="9752" width="9.42578125" style="420" customWidth="1"/>
    <col min="9753" max="9753" width="10.5703125" style="420" customWidth="1"/>
    <col min="9754" max="9754" width="11.28515625" style="420" bestFit="1" customWidth="1"/>
    <col min="9755" max="9987" width="9.140625" style="420"/>
    <col min="9988" max="9988" width="5.85546875" style="420" customWidth="1"/>
    <col min="9989" max="9989" width="25.85546875" style="420" customWidth="1"/>
    <col min="9990" max="9997" width="10.85546875" style="420" customWidth="1"/>
    <col min="9998" max="9999" width="10" style="420" customWidth="1"/>
    <col min="10000" max="10000" width="11.85546875" style="420" customWidth="1"/>
    <col min="10001" max="10001" width="8.7109375" style="420" customWidth="1"/>
    <col min="10002" max="10002" width="9" style="420" customWidth="1"/>
    <col min="10003" max="10003" width="8.7109375" style="420" customWidth="1"/>
    <col min="10004" max="10004" width="8.140625" style="420" customWidth="1"/>
    <col min="10005" max="10005" width="8" style="420" customWidth="1"/>
    <col min="10006" max="10006" width="8.85546875" style="420" customWidth="1"/>
    <col min="10007" max="10007" width="9.85546875" style="420" customWidth="1"/>
    <col min="10008" max="10008" width="9.42578125" style="420" customWidth="1"/>
    <col min="10009" max="10009" width="10.5703125" style="420" customWidth="1"/>
    <col min="10010" max="10010" width="11.28515625" style="420" bestFit="1" customWidth="1"/>
    <col min="10011" max="10243" width="9.140625" style="420"/>
    <col min="10244" max="10244" width="5.85546875" style="420" customWidth="1"/>
    <col min="10245" max="10245" width="25.85546875" style="420" customWidth="1"/>
    <col min="10246" max="10253" width="10.85546875" style="420" customWidth="1"/>
    <col min="10254" max="10255" width="10" style="420" customWidth="1"/>
    <col min="10256" max="10256" width="11.85546875" style="420" customWidth="1"/>
    <col min="10257" max="10257" width="8.7109375" style="420" customWidth="1"/>
    <col min="10258" max="10258" width="9" style="420" customWidth="1"/>
    <col min="10259" max="10259" width="8.7109375" style="420" customWidth="1"/>
    <col min="10260" max="10260" width="8.140625" style="420" customWidth="1"/>
    <col min="10261" max="10261" width="8" style="420" customWidth="1"/>
    <col min="10262" max="10262" width="8.85546875" style="420" customWidth="1"/>
    <col min="10263" max="10263" width="9.85546875" style="420" customWidth="1"/>
    <col min="10264" max="10264" width="9.42578125" style="420" customWidth="1"/>
    <col min="10265" max="10265" width="10.5703125" style="420" customWidth="1"/>
    <col min="10266" max="10266" width="11.28515625" style="420" bestFit="1" customWidth="1"/>
    <col min="10267" max="10499" width="9.140625" style="420"/>
    <col min="10500" max="10500" width="5.85546875" style="420" customWidth="1"/>
    <col min="10501" max="10501" width="25.85546875" style="420" customWidth="1"/>
    <col min="10502" max="10509" width="10.85546875" style="420" customWidth="1"/>
    <col min="10510" max="10511" width="10" style="420" customWidth="1"/>
    <col min="10512" max="10512" width="11.85546875" style="420" customWidth="1"/>
    <col min="10513" max="10513" width="8.7109375" style="420" customWidth="1"/>
    <col min="10514" max="10514" width="9" style="420" customWidth="1"/>
    <col min="10515" max="10515" width="8.7109375" style="420" customWidth="1"/>
    <col min="10516" max="10516" width="8.140625" style="420" customWidth="1"/>
    <col min="10517" max="10517" width="8" style="420" customWidth="1"/>
    <col min="10518" max="10518" width="8.85546875" style="420" customWidth="1"/>
    <col min="10519" max="10519" width="9.85546875" style="420" customWidth="1"/>
    <col min="10520" max="10520" width="9.42578125" style="420" customWidth="1"/>
    <col min="10521" max="10521" width="10.5703125" style="420" customWidth="1"/>
    <col min="10522" max="10522" width="11.28515625" style="420" bestFit="1" customWidth="1"/>
    <col min="10523" max="10755" width="9.140625" style="420"/>
    <col min="10756" max="10756" width="5.85546875" style="420" customWidth="1"/>
    <col min="10757" max="10757" width="25.85546875" style="420" customWidth="1"/>
    <col min="10758" max="10765" width="10.85546875" style="420" customWidth="1"/>
    <col min="10766" max="10767" width="10" style="420" customWidth="1"/>
    <col min="10768" max="10768" width="11.85546875" style="420" customWidth="1"/>
    <col min="10769" max="10769" width="8.7109375" style="420" customWidth="1"/>
    <col min="10770" max="10770" width="9" style="420" customWidth="1"/>
    <col min="10771" max="10771" width="8.7109375" style="420" customWidth="1"/>
    <col min="10772" max="10772" width="8.140625" style="420" customWidth="1"/>
    <col min="10773" max="10773" width="8" style="420" customWidth="1"/>
    <col min="10774" max="10774" width="8.85546875" style="420" customWidth="1"/>
    <col min="10775" max="10775" width="9.85546875" style="420" customWidth="1"/>
    <col min="10776" max="10776" width="9.42578125" style="420" customWidth="1"/>
    <col min="10777" max="10777" width="10.5703125" style="420" customWidth="1"/>
    <col min="10778" max="10778" width="11.28515625" style="420" bestFit="1" customWidth="1"/>
    <col min="10779" max="11011" width="9.140625" style="420"/>
    <col min="11012" max="11012" width="5.85546875" style="420" customWidth="1"/>
    <col min="11013" max="11013" width="25.85546875" style="420" customWidth="1"/>
    <col min="11014" max="11021" width="10.85546875" style="420" customWidth="1"/>
    <col min="11022" max="11023" width="10" style="420" customWidth="1"/>
    <col min="11024" max="11024" width="11.85546875" style="420" customWidth="1"/>
    <col min="11025" max="11025" width="8.7109375" style="420" customWidth="1"/>
    <col min="11026" max="11026" width="9" style="420" customWidth="1"/>
    <col min="11027" max="11027" width="8.7109375" style="420" customWidth="1"/>
    <col min="11028" max="11028" width="8.140625" style="420" customWidth="1"/>
    <col min="11029" max="11029" width="8" style="420" customWidth="1"/>
    <col min="11030" max="11030" width="8.85546875" style="420" customWidth="1"/>
    <col min="11031" max="11031" width="9.85546875" style="420" customWidth="1"/>
    <col min="11032" max="11032" width="9.42578125" style="420" customWidth="1"/>
    <col min="11033" max="11033" width="10.5703125" style="420" customWidth="1"/>
    <col min="11034" max="11034" width="11.28515625" style="420" bestFit="1" customWidth="1"/>
    <col min="11035" max="11267" width="9.140625" style="420"/>
    <col min="11268" max="11268" width="5.85546875" style="420" customWidth="1"/>
    <col min="11269" max="11269" width="25.85546875" style="420" customWidth="1"/>
    <col min="11270" max="11277" width="10.85546875" style="420" customWidth="1"/>
    <col min="11278" max="11279" width="10" style="420" customWidth="1"/>
    <col min="11280" max="11280" width="11.85546875" style="420" customWidth="1"/>
    <col min="11281" max="11281" width="8.7109375" style="420" customWidth="1"/>
    <col min="11282" max="11282" width="9" style="420" customWidth="1"/>
    <col min="11283" max="11283" width="8.7109375" style="420" customWidth="1"/>
    <col min="11284" max="11284" width="8.140625" style="420" customWidth="1"/>
    <col min="11285" max="11285" width="8" style="420" customWidth="1"/>
    <col min="11286" max="11286" width="8.85546875" style="420" customWidth="1"/>
    <col min="11287" max="11287" width="9.85546875" style="420" customWidth="1"/>
    <col min="11288" max="11288" width="9.42578125" style="420" customWidth="1"/>
    <col min="11289" max="11289" width="10.5703125" style="420" customWidth="1"/>
    <col min="11290" max="11290" width="11.28515625" style="420" bestFit="1" customWidth="1"/>
    <col min="11291" max="11523" width="9.140625" style="420"/>
    <col min="11524" max="11524" width="5.85546875" style="420" customWidth="1"/>
    <col min="11525" max="11525" width="25.85546875" style="420" customWidth="1"/>
    <col min="11526" max="11533" width="10.85546875" style="420" customWidth="1"/>
    <col min="11534" max="11535" width="10" style="420" customWidth="1"/>
    <col min="11536" max="11536" width="11.85546875" style="420" customWidth="1"/>
    <col min="11537" max="11537" width="8.7109375" style="420" customWidth="1"/>
    <col min="11538" max="11538" width="9" style="420" customWidth="1"/>
    <col min="11539" max="11539" width="8.7109375" style="420" customWidth="1"/>
    <col min="11540" max="11540" width="8.140625" style="420" customWidth="1"/>
    <col min="11541" max="11541" width="8" style="420" customWidth="1"/>
    <col min="11542" max="11542" width="8.85546875" style="420" customWidth="1"/>
    <col min="11543" max="11543" width="9.85546875" style="420" customWidth="1"/>
    <col min="11544" max="11544" width="9.42578125" style="420" customWidth="1"/>
    <col min="11545" max="11545" width="10.5703125" style="420" customWidth="1"/>
    <col min="11546" max="11546" width="11.28515625" style="420" bestFit="1" customWidth="1"/>
    <col min="11547" max="11779" width="9.140625" style="420"/>
    <col min="11780" max="11780" width="5.85546875" style="420" customWidth="1"/>
    <col min="11781" max="11781" width="25.85546875" style="420" customWidth="1"/>
    <col min="11782" max="11789" width="10.85546875" style="420" customWidth="1"/>
    <col min="11790" max="11791" width="10" style="420" customWidth="1"/>
    <col min="11792" max="11792" width="11.85546875" style="420" customWidth="1"/>
    <col min="11793" max="11793" width="8.7109375" style="420" customWidth="1"/>
    <col min="11794" max="11794" width="9" style="420" customWidth="1"/>
    <col min="11795" max="11795" width="8.7109375" style="420" customWidth="1"/>
    <col min="11796" max="11796" width="8.140625" style="420" customWidth="1"/>
    <col min="11797" max="11797" width="8" style="420" customWidth="1"/>
    <col min="11798" max="11798" width="8.85546875" style="420" customWidth="1"/>
    <col min="11799" max="11799" width="9.85546875" style="420" customWidth="1"/>
    <col min="11800" max="11800" width="9.42578125" style="420" customWidth="1"/>
    <col min="11801" max="11801" width="10.5703125" style="420" customWidth="1"/>
    <col min="11802" max="11802" width="11.28515625" style="420" bestFit="1" customWidth="1"/>
    <col min="11803" max="12035" width="9.140625" style="420"/>
    <col min="12036" max="12036" width="5.85546875" style="420" customWidth="1"/>
    <col min="12037" max="12037" width="25.85546875" style="420" customWidth="1"/>
    <col min="12038" max="12045" width="10.85546875" style="420" customWidth="1"/>
    <col min="12046" max="12047" width="10" style="420" customWidth="1"/>
    <col min="12048" max="12048" width="11.85546875" style="420" customWidth="1"/>
    <col min="12049" max="12049" width="8.7109375" style="420" customWidth="1"/>
    <col min="12050" max="12050" width="9" style="420" customWidth="1"/>
    <col min="12051" max="12051" width="8.7109375" style="420" customWidth="1"/>
    <col min="12052" max="12052" width="8.140625" style="420" customWidth="1"/>
    <col min="12053" max="12053" width="8" style="420" customWidth="1"/>
    <col min="12054" max="12054" width="8.85546875" style="420" customWidth="1"/>
    <col min="12055" max="12055" width="9.85546875" style="420" customWidth="1"/>
    <col min="12056" max="12056" width="9.42578125" style="420" customWidth="1"/>
    <col min="12057" max="12057" width="10.5703125" style="420" customWidth="1"/>
    <col min="12058" max="12058" width="11.28515625" style="420" bestFit="1" customWidth="1"/>
    <col min="12059" max="12291" width="9.140625" style="420"/>
    <col min="12292" max="12292" width="5.85546875" style="420" customWidth="1"/>
    <col min="12293" max="12293" width="25.85546875" style="420" customWidth="1"/>
    <col min="12294" max="12301" width="10.85546875" style="420" customWidth="1"/>
    <col min="12302" max="12303" width="10" style="420" customWidth="1"/>
    <col min="12304" max="12304" width="11.85546875" style="420" customWidth="1"/>
    <col min="12305" max="12305" width="8.7109375" style="420" customWidth="1"/>
    <col min="12306" max="12306" width="9" style="420" customWidth="1"/>
    <col min="12307" max="12307" width="8.7109375" style="420" customWidth="1"/>
    <col min="12308" max="12308" width="8.140625" style="420" customWidth="1"/>
    <col min="12309" max="12309" width="8" style="420" customWidth="1"/>
    <col min="12310" max="12310" width="8.85546875" style="420" customWidth="1"/>
    <col min="12311" max="12311" width="9.85546875" style="420" customWidth="1"/>
    <col min="12312" max="12312" width="9.42578125" style="420" customWidth="1"/>
    <col min="12313" max="12313" width="10.5703125" style="420" customWidth="1"/>
    <col min="12314" max="12314" width="11.28515625" style="420" bestFit="1" customWidth="1"/>
    <col min="12315" max="12547" width="9.140625" style="420"/>
    <col min="12548" max="12548" width="5.85546875" style="420" customWidth="1"/>
    <col min="12549" max="12549" width="25.85546875" style="420" customWidth="1"/>
    <col min="12550" max="12557" width="10.85546875" style="420" customWidth="1"/>
    <col min="12558" max="12559" width="10" style="420" customWidth="1"/>
    <col min="12560" max="12560" width="11.85546875" style="420" customWidth="1"/>
    <col min="12561" max="12561" width="8.7109375" style="420" customWidth="1"/>
    <col min="12562" max="12562" width="9" style="420" customWidth="1"/>
    <col min="12563" max="12563" width="8.7109375" style="420" customWidth="1"/>
    <col min="12564" max="12564" width="8.140625" style="420" customWidth="1"/>
    <col min="12565" max="12565" width="8" style="420" customWidth="1"/>
    <col min="12566" max="12566" width="8.85546875" style="420" customWidth="1"/>
    <col min="12567" max="12567" width="9.85546875" style="420" customWidth="1"/>
    <col min="12568" max="12568" width="9.42578125" style="420" customWidth="1"/>
    <col min="12569" max="12569" width="10.5703125" style="420" customWidth="1"/>
    <col min="12570" max="12570" width="11.28515625" style="420" bestFit="1" customWidth="1"/>
    <col min="12571" max="12803" width="9.140625" style="420"/>
    <col min="12804" max="12804" width="5.85546875" style="420" customWidth="1"/>
    <col min="12805" max="12805" width="25.85546875" style="420" customWidth="1"/>
    <col min="12806" max="12813" width="10.85546875" style="420" customWidth="1"/>
    <col min="12814" max="12815" width="10" style="420" customWidth="1"/>
    <col min="12816" max="12816" width="11.85546875" style="420" customWidth="1"/>
    <col min="12817" max="12817" width="8.7109375" style="420" customWidth="1"/>
    <col min="12818" max="12818" width="9" style="420" customWidth="1"/>
    <col min="12819" max="12819" width="8.7109375" style="420" customWidth="1"/>
    <col min="12820" max="12820" width="8.140625" style="420" customWidth="1"/>
    <col min="12821" max="12821" width="8" style="420" customWidth="1"/>
    <col min="12822" max="12822" width="8.85546875" style="420" customWidth="1"/>
    <col min="12823" max="12823" width="9.85546875" style="420" customWidth="1"/>
    <col min="12824" max="12824" width="9.42578125" style="420" customWidth="1"/>
    <col min="12825" max="12825" width="10.5703125" style="420" customWidth="1"/>
    <col min="12826" max="12826" width="11.28515625" style="420" bestFit="1" customWidth="1"/>
    <col min="12827" max="13059" width="9.140625" style="420"/>
    <col min="13060" max="13060" width="5.85546875" style="420" customWidth="1"/>
    <col min="13061" max="13061" width="25.85546875" style="420" customWidth="1"/>
    <col min="13062" max="13069" width="10.85546875" style="420" customWidth="1"/>
    <col min="13070" max="13071" width="10" style="420" customWidth="1"/>
    <col min="13072" max="13072" width="11.85546875" style="420" customWidth="1"/>
    <col min="13073" max="13073" width="8.7109375" style="420" customWidth="1"/>
    <col min="13074" max="13074" width="9" style="420" customWidth="1"/>
    <col min="13075" max="13075" width="8.7109375" style="420" customWidth="1"/>
    <col min="13076" max="13076" width="8.140625" style="420" customWidth="1"/>
    <col min="13077" max="13077" width="8" style="420" customWidth="1"/>
    <col min="13078" max="13078" width="8.85546875" style="420" customWidth="1"/>
    <col min="13079" max="13079" width="9.85546875" style="420" customWidth="1"/>
    <col min="13080" max="13080" width="9.42578125" style="420" customWidth="1"/>
    <col min="13081" max="13081" width="10.5703125" style="420" customWidth="1"/>
    <col min="13082" max="13082" width="11.28515625" style="420" bestFit="1" customWidth="1"/>
    <col min="13083" max="13315" width="9.140625" style="420"/>
    <col min="13316" max="13316" width="5.85546875" style="420" customWidth="1"/>
    <col min="13317" max="13317" width="25.85546875" style="420" customWidth="1"/>
    <col min="13318" max="13325" width="10.85546875" style="420" customWidth="1"/>
    <col min="13326" max="13327" width="10" style="420" customWidth="1"/>
    <col min="13328" max="13328" width="11.85546875" style="420" customWidth="1"/>
    <col min="13329" max="13329" width="8.7109375" style="420" customWidth="1"/>
    <col min="13330" max="13330" width="9" style="420" customWidth="1"/>
    <col min="13331" max="13331" width="8.7109375" style="420" customWidth="1"/>
    <col min="13332" max="13332" width="8.140625" style="420" customWidth="1"/>
    <col min="13333" max="13333" width="8" style="420" customWidth="1"/>
    <col min="13334" max="13334" width="8.85546875" style="420" customWidth="1"/>
    <col min="13335" max="13335" width="9.85546875" style="420" customWidth="1"/>
    <col min="13336" max="13336" width="9.42578125" style="420" customWidth="1"/>
    <col min="13337" max="13337" width="10.5703125" style="420" customWidth="1"/>
    <col min="13338" max="13338" width="11.28515625" style="420" bestFit="1" customWidth="1"/>
    <col min="13339" max="13571" width="9.140625" style="420"/>
    <col min="13572" max="13572" width="5.85546875" style="420" customWidth="1"/>
    <col min="13573" max="13573" width="25.85546875" style="420" customWidth="1"/>
    <col min="13574" max="13581" width="10.85546875" style="420" customWidth="1"/>
    <col min="13582" max="13583" width="10" style="420" customWidth="1"/>
    <col min="13584" max="13584" width="11.85546875" style="420" customWidth="1"/>
    <col min="13585" max="13585" width="8.7109375" style="420" customWidth="1"/>
    <col min="13586" max="13586" width="9" style="420" customWidth="1"/>
    <col min="13587" max="13587" width="8.7109375" style="420" customWidth="1"/>
    <col min="13588" max="13588" width="8.140625" style="420" customWidth="1"/>
    <col min="13589" max="13589" width="8" style="420" customWidth="1"/>
    <col min="13590" max="13590" width="8.85546875" style="420" customWidth="1"/>
    <col min="13591" max="13591" width="9.85546875" style="420" customWidth="1"/>
    <col min="13592" max="13592" width="9.42578125" style="420" customWidth="1"/>
    <col min="13593" max="13593" width="10.5703125" style="420" customWidth="1"/>
    <col min="13594" max="13594" width="11.28515625" style="420" bestFit="1" customWidth="1"/>
    <col min="13595" max="13827" width="9.140625" style="420"/>
    <col min="13828" max="13828" width="5.85546875" style="420" customWidth="1"/>
    <col min="13829" max="13829" width="25.85546875" style="420" customWidth="1"/>
    <col min="13830" max="13837" width="10.85546875" style="420" customWidth="1"/>
    <col min="13838" max="13839" width="10" style="420" customWidth="1"/>
    <col min="13840" max="13840" width="11.85546875" style="420" customWidth="1"/>
    <col min="13841" max="13841" width="8.7109375" style="420" customWidth="1"/>
    <col min="13842" max="13842" width="9" style="420" customWidth="1"/>
    <col min="13843" max="13843" width="8.7109375" style="420" customWidth="1"/>
    <col min="13844" max="13844" width="8.140625" style="420" customWidth="1"/>
    <col min="13845" max="13845" width="8" style="420" customWidth="1"/>
    <col min="13846" max="13846" width="8.85546875" style="420" customWidth="1"/>
    <col min="13847" max="13847" width="9.85546875" style="420" customWidth="1"/>
    <col min="13848" max="13848" width="9.42578125" style="420" customWidth="1"/>
    <col min="13849" max="13849" width="10.5703125" style="420" customWidth="1"/>
    <col min="13850" max="13850" width="11.28515625" style="420" bestFit="1" customWidth="1"/>
    <col min="13851" max="14083" width="9.140625" style="420"/>
    <col min="14084" max="14084" width="5.85546875" style="420" customWidth="1"/>
    <col min="14085" max="14085" width="25.85546875" style="420" customWidth="1"/>
    <col min="14086" max="14093" width="10.85546875" style="420" customWidth="1"/>
    <col min="14094" max="14095" width="10" style="420" customWidth="1"/>
    <col min="14096" max="14096" width="11.85546875" style="420" customWidth="1"/>
    <col min="14097" max="14097" width="8.7109375" style="420" customWidth="1"/>
    <col min="14098" max="14098" width="9" style="420" customWidth="1"/>
    <col min="14099" max="14099" width="8.7109375" style="420" customWidth="1"/>
    <col min="14100" max="14100" width="8.140625" style="420" customWidth="1"/>
    <col min="14101" max="14101" width="8" style="420" customWidth="1"/>
    <col min="14102" max="14102" width="8.85546875" style="420" customWidth="1"/>
    <col min="14103" max="14103" width="9.85546875" style="420" customWidth="1"/>
    <col min="14104" max="14104" width="9.42578125" style="420" customWidth="1"/>
    <col min="14105" max="14105" width="10.5703125" style="420" customWidth="1"/>
    <col min="14106" max="14106" width="11.28515625" style="420" bestFit="1" customWidth="1"/>
    <col min="14107" max="14339" width="9.140625" style="420"/>
    <col min="14340" max="14340" width="5.85546875" style="420" customWidth="1"/>
    <col min="14341" max="14341" width="25.85546875" style="420" customWidth="1"/>
    <col min="14342" max="14349" width="10.85546875" style="420" customWidth="1"/>
    <col min="14350" max="14351" width="10" style="420" customWidth="1"/>
    <col min="14352" max="14352" width="11.85546875" style="420" customWidth="1"/>
    <col min="14353" max="14353" width="8.7109375" style="420" customWidth="1"/>
    <col min="14354" max="14354" width="9" style="420" customWidth="1"/>
    <col min="14355" max="14355" width="8.7109375" style="420" customWidth="1"/>
    <col min="14356" max="14356" width="8.140625" style="420" customWidth="1"/>
    <col min="14357" max="14357" width="8" style="420" customWidth="1"/>
    <col min="14358" max="14358" width="8.85546875" style="420" customWidth="1"/>
    <col min="14359" max="14359" width="9.85546875" style="420" customWidth="1"/>
    <col min="14360" max="14360" width="9.42578125" style="420" customWidth="1"/>
    <col min="14361" max="14361" width="10.5703125" style="420" customWidth="1"/>
    <col min="14362" max="14362" width="11.28515625" style="420" bestFit="1" customWidth="1"/>
    <col min="14363" max="14595" width="9.140625" style="420"/>
    <col min="14596" max="14596" width="5.85546875" style="420" customWidth="1"/>
    <col min="14597" max="14597" width="25.85546875" style="420" customWidth="1"/>
    <col min="14598" max="14605" width="10.85546875" style="420" customWidth="1"/>
    <col min="14606" max="14607" width="10" style="420" customWidth="1"/>
    <col min="14608" max="14608" width="11.85546875" style="420" customWidth="1"/>
    <col min="14609" max="14609" width="8.7109375" style="420" customWidth="1"/>
    <col min="14610" max="14610" width="9" style="420" customWidth="1"/>
    <col min="14611" max="14611" width="8.7109375" style="420" customWidth="1"/>
    <col min="14612" max="14612" width="8.140625" style="420" customWidth="1"/>
    <col min="14613" max="14613" width="8" style="420" customWidth="1"/>
    <col min="14614" max="14614" width="8.85546875" style="420" customWidth="1"/>
    <col min="14615" max="14615" width="9.85546875" style="420" customWidth="1"/>
    <col min="14616" max="14616" width="9.42578125" style="420" customWidth="1"/>
    <col min="14617" max="14617" width="10.5703125" style="420" customWidth="1"/>
    <col min="14618" max="14618" width="11.28515625" style="420" bestFit="1" customWidth="1"/>
    <col min="14619" max="14851" width="9.140625" style="420"/>
    <col min="14852" max="14852" width="5.85546875" style="420" customWidth="1"/>
    <col min="14853" max="14853" width="25.85546875" style="420" customWidth="1"/>
    <col min="14854" max="14861" width="10.85546875" style="420" customWidth="1"/>
    <col min="14862" max="14863" width="10" style="420" customWidth="1"/>
    <col min="14864" max="14864" width="11.85546875" style="420" customWidth="1"/>
    <col min="14865" max="14865" width="8.7109375" style="420" customWidth="1"/>
    <col min="14866" max="14866" width="9" style="420" customWidth="1"/>
    <col min="14867" max="14867" width="8.7109375" style="420" customWidth="1"/>
    <col min="14868" max="14868" width="8.140625" style="420" customWidth="1"/>
    <col min="14869" max="14869" width="8" style="420" customWidth="1"/>
    <col min="14870" max="14870" width="8.85546875" style="420" customWidth="1"/>
    <col min="14871" max="14871" width="9.85546875" style="420" customWidth="1"/>
    <col min="14872" max="14872" width="9.42578125" style="420" customWidth="1"/>
    <col min="14873" max="14873" width="10.5703125" style="420" customWidth="1"/>
    <col min="14874" max="14874" width="11.28515625" style="420" bestFit="1" customWidth="1"/>
    <col min="14875" max="15107" width="9.140625" style="420"/>
    <col min="15108" max="15108" width="5.85546875" style="420" customWidth="1"/>
    <col min="15109" max="15109" width="25.85546875" style="420" customWidth="1"/>
    <col min="15110" max="15117" width="10.85546875" style="420" customWidth="1"/>
    <col min="15118" max="15119" width="10" style="420" customWidth="1"/>
    <col min="15120" max="15120" width="11.85546875" style="420" customWidth="1"/>
    <col min="15121" max="15121" width="8.7109375" style="420" customWidth="1"/>
    <col min="15122" max="15122" width="9" style="420" customWidth="1"/>
    <col min="15123" max="15123" width="8.7109375" style="420" customWidth="1"/>
    <col min="15124" max="15124" width="8.140625" style="420" customWidth="1"/>
    <col min="15125" max="15125" width="8" style="420" customWidth="1"/>
    <col min="15126" max="15126" width="8.85546875" style="420" customWidth="1"/>
    <col min="15127" max="15127" width="9.85546875" style="420" customWidth="1"/>
    <col min="15128" max="15128" width="9.42578125" style="420" customWidth="1"/>
    <col min="15129" max="15129" width="10.5703125" style="420" customWidth="1"/>
    <col min="15130" max="15130" width="11.28515625" style="420" bestFit="1" customWidth="1"/>
    <col min="15131" max="15363" width="9.140625" style="420"/>
    <col min="15364" max="15364" width="5.85546875" style="420" customWidth="1"/>
    <col min="15365" max="15365" width="25.85546875" style="420" customWidth="1"/>
    <col min="15366" max="15373" width="10.85546875" style="420" customWidth="1"/>
    <col min="15374" max="15375" width="10" style="420" customWidth="1"/>
    <col min="15376" max="15376" width="11.85546875" style="420" customWidth="1"/>
    <col min="15377" max="15377" width="8.7109375" style="420" customWidth="1"/>
    <col min="15378" max="15378" width="9" style="420" customWidth="1"/>
    <col min="15379" max="15379" width="8.7109375" style="420" customWidth="1"/>
    <col min="15380" max="15380" width="8.140625" style="420" customWidth="1"/>
    <col min="15381" max="15381" width="8" style="420" customWidth="1"/>
    <col min="15382" max="15382" width="8.85546875" style="420" customWidth="1"/>
    <col min="15383" max="15383" width="9.85546875" style="420" customWidth="1"/>
    <col min="15384" max="15384" width="9.42578125" style="420" customWidth="1"/>
    <col min="15385" max="15385" width="10.5703125" style="420" customWidth="1"/>
    <col min="15386" max="15386" width="11.28515625" style="420" bestFit="1" customWidth="1"/>
    <col min="15387" max="15619" width="9.140625" style="420"/>
    <col min="15620" max="15620" width="5.85546875" style="420" customWidth="1"/>
    <col min="15621" max="15621" width="25.85546875" style="420" customWidth="1"/>
    <col min="15622" max="15629" width="10.85546875" style="420" customWidth="1"/>
    <col min="15630" max="15631" width="10" style="420" customWidth="1"/>
    <col min="15632" max="15632" width="11.85546875" style="420" customWidth="1"/>
    <col min="15633" max="15633" width="8.7109375" style="420" customWidth="1"/>
    <col min="15634" max="15634" width="9" style="420" customWidth="1"/>
    <col min="15635" max="15635" width="8.7109375" style="420" customWidth="1"/>
    <col min="15636" max="15636" width="8.140625" style="420" customWidth="1"/>
    <col min="15637" max="15637" width="8" style="420" customWidth="1"/>
    <col min="15638" max="15638" width="8.85546875" style="420" customWidth="1"/>
    <col min="15639" max="15639" width="9.85546875" style="420" customWidth="1"/>
    <col min="15640" max="15640" width="9.42578125" style="420" customWidth="1"/>
    <col min="15641" max="15641" width="10.5703125" style="420" customWidth="1"/>
    <col min="15642" max="15642" width="11.28515625" style="420" bestFit="1" customWidth="1"/>
    <col min="15643" max="15875" width="9.140625" style="420"/>
    <col min="15876" max="15876" width="5.85546875" style="420" customWidth="1"/>
    <col min="15877" max="15877" width="25.85546875" style="420" customWidth="1"/>
    <col min="15878" max="15885" width="10.85546875" style="420" customWidth="1"/>
    <col min="15886" max="15887" width="10" style="420" customWidth="1"/>
    <col min="15888" max="15888" width="11.85546875" style="420" customWidth="1"/>
    <col min="15889" max="15889" width="8.7109375" style="420" customWidth="1"/>
    <col min="15890" max="15890" width="9" style="420" customWidth="1"/>
    <col min="15891" max="15891" width="8.7109375" style="420" customWidth="1"/>
    <col min="15892" max="15892" width="8.140625" style="420" customWidth="1"/>
    <col min="15893" max="15893" width="8" style="420" customWidth="1"/>
    <col min="15894" max="15894" width="8.85546875" style="420" customWidth="1"/>
    <col min="15895" max="15895" width="9.85546875" style="420" customWidth="1"/>
    <col min="15896" max="15896" width="9.42578125" style="420" customWidth="1"/>
    <col min="15897" max="15897" width="10.5703125" style="420" customWidth="1"/>
    <col min="15898" max="15898" width="11.28515625" style="420" bestFit="1" customWidth="1"/>
    <col min="15899" max="16131" width="9.140625" style="420"/>
    <col min="16132" max="16132" width="5.85546875" style="420" customWidth="1"/>
    <col min="16133" max="16133" width="25.85546875" style="420" customWidth="1"/>
    <col min="16134" max="16141" width="10.85546875" style="420" customWidth="1"/>
    <col min="16142" max="16143" width="10" style="420" customWidth="1"/>
    <col min="16144" max="16144" width="11.85546875" style="420" customWidth="1"/>
    <col min="16145" max="16145" width="8.7109375" style="420" customWidth="1"/>
    <col min="16146" max="16146" width="9" style="420" customWidth="1"/>
    <col min="16147" max="16147" width="8.7109375" style="420" customWidth="1"/>
    <col min="16148" max="16148" width="8.140625" style="420" customWidth="1"/>
    <col min="16149" max="16149" width="8" style="420" customWidth="1"/>
    <col min="16150" max="16150" width="8.85546875" style="420" customWidth="1"/>
    <col min="16151" max="16151" width="9.85546875" style="420" customWidth="1"/>
    <col min="16152" max="16152" width="9.42578125" style="420" customWidth="1"/>
    <col min="16153" max="16153" width="10.5703125" style="420" customWidth="1"/>
    <col min="16154" max="16154" width="11.28515625" style="420" bestFit="1" customWidth="1"/>
    <col min="16155" max="16384" width="9.140625" style="420"/>
  </cols>
  <sheetData>
    <row r="1" spans="1:27" hidden="1" x14ac:dyDescent="0.2">
      <c r="A1" s="420" t="s">
        <v>0</v>
      </c>
    </row>
    <row r="2" spans="1:27" hidden="1" x14ac:dyDescent="0.2">
      <c r="A2" s="427" t="s">
        <v>1</v>
      </c>
      <c r="B2" s="427"/>
      <c r="C2" s="428"/>
      <c r="D2" s="428"/>
      <c r="E2" s="428"/>
      <c r="F2" s="428"/>
      <c r="G2" s="428"/>
      <c r="H2" s="428"/>
      <c r="I2" s="428"/>
      <c r="J2" s="428"/>
    </row>
    <row r="3" spans="1:27" x14ac:dyDescent="0.2">
      <c r="A3" s="427" t="s">
        <v>2</v>
      </c>
      <c r="B3" s="427"/>
      <c r="C3" s="428"/>
      <c r="D3" s="428"/>
      <c r="E3" s="428"/>
      <c r="F3" s="428"/>
      <c r="G3" s="428"/>
      <c r="H3" s="428"/>
      <c r="I3" s="428"/>
      <c r="J3" s="428"/>
    </row>
    <row r="4" spans="1:27" ht="15" customHeight="1" x14ac:dyDescent="0.2">
      <c r="A4" s="429" t="s">
        <v>3</v>
      </c>
      <c r="B4" s="429"/>
      <c r="C4" s="430"/>
      <c r="D4" s="430"/>
      <c r="E4" s="430"/>
      <c r="F4" s="430"/>
      <c r="G4" s="430"/>
      <c r="H4" s="430"/>
      <c r="I4" s="430"/>
      <c r="J4" s="430"/>
    </row>
    <row r="5" spans="1:27" ht="15" customHeight="1" x14ac:dyDescent="0.2">
      <c r="A5" s="431" t="s">
        <v>159</v>
      </c>
      <c r="B5" s="431"/>
      <c r="C5" s="432"/>
      <c r="D5" s="432"/>
      <c r="E5" s="432"/>
      <c r="F5" s="432"/>
      <c r="G5" s="432"/>
      <c r="H5" s="432"/>
      <c r="I5" s="432"/>
      <c r="J5" s="432"/>
      <c r="K5" s="433"/>
      <c r="L5" s="433"/>
      <c r="M5" s="433"/>
      <c r="N5" s="433"/>
      <c r="O5" s="764"/>
      <c r="P5" s="775" t="s">
        <v>160</v>
      </c>
      <c r="Q5" s="775"/>
      <c r="R5" s="775"/>
      <c r="S5" s="775"/>
      <c r="T5" s="775"/>
      <c r="U5" s="775"/>
      <c r="V5" s="775"/>
      <c r="W5" s="775"/>
      <c r="X5" s="775"/>
      <c r="Y5" s="434"/>
    </row>
    <row r="6" spans="1:27" ht="12" thickBot="1" x14ac:dyDescent="0.25">
      <c r="A6" s="435"/>
      <c r="B6" s="435"/>
      <c r="C6" s="436"/>
      <c r="D6" s="436"/>
      <c r="E6" s="436"/>
      <c r="F6" s="436"/>
      <c r="G6" s="436"/>
      <c r="H6" s="436"/>
      <c r="I6" s="436"/>
      <c r="J6" s="436"/>
    </row>
    <row r="7" spans="1:27" ht="13.9" customHeight="1" x14ac:dyDescent="0.2">
      <c r="A7" s="437"/>
      <c r="B7" s="438"/>
      <c r="C7" s="439"/>
      <c r="D7" s="439"/>
      <c r="E7" s="439"/>
      <c r="F7" s="439"/>
      <c r="G7" s="439"/>
      <c r="H7" s="439"/>
      <c r="I7" s="439"/>
      <c r="J7" s="439"/>
      <c r="K7" s="776"/>
      <c r="L7" s="776"/>
      <c r="M7" s="776"/>
      <c r="N7" s="776"/>
      <c r="O7" s="776"/>
      <c r="P7" s="776"/>
      <c r="Q7" s="776"/>
      <c r="R7" s="776"/>
      <c r="S7" s="776"/>
      <c r="T7" s="776"/>
      <c r="U7" s="776"/>
      <c r="V7" s="776"/>
      <c r="W7" s="776"/>
      <c r="X7" s="776"/>
      <c r="Y7" s="440"/>
      <c r="Z7" s="441"/>
      <c r="AA7" s="442"/>
    </row>
    <row r="8" spans="1:27" ht="46.5" customHeight="1" thickBot="1" x14ac:dyDescent="0.25">
      <c r="A8" s="443"/>
      <c r="B8" s="444" t="s">
        <v>6</v>
      </c>
      <c r="C8" s="445" t="s">
        <v>161</v>
      </c>
      <c r="D8" s="445" t="s">
        <v>162</v>
      </c>
      <c r="E8" s="445" t="s">
        <v>163</v>
      </c>
      <c r="F8" s="445" t="s">
        <v>164</v>
      </c>
      <c r="G8" s="445" t="s">
        <v>165</v>
      </c>
      <c r="H8" s="446" t="s">
        <v>87</v>
      </c>
      <c r="I8" s="445" t="s">
        <v>7</v>
      </c>
      <c r="J8" s="445" t="s">
        <v>166</v>
      </c>
      <c r="K8" s="445" t="s">
        <v>167</v>
      </c>
      <c r="L8" s="445" t="s">
        <v>10</v>
      </c>
      <c r="M8" s="445" t="s">
        <v>168</v>
      </c>
      <c r="N8" s="447" t="s">
        <v>169</v>
      </c>
      <c r="O8" s="765" t="s">
        <v>187</v>
      </c>
      <c r="P8" s="754" t="s">
        <v>189</v>
      </c>
      <c r="Q8" s="449" t="s">
        <v>105</v>
      </c>
      <c r="R8" s="450" t="s">
        <v>12</v>
      </c>
      <c r="S8" s="450" t="s">
        <v>13</v>
      </c>
      <c r="T8" s="450" t="s">
        <v>14</v>
      </c>
      <c r="U8" s="450" t="s">
        <v>15</v>
      </c>
      <c r="V8" s="448" t="s">
        <v>170</v>
      </c>
      <c r="W8" s="451" t="s">
        <v>16</v>
      </c>
      <c r="X8" s="452" t="s">
        <v>171</v>
      </c>
      <c r="Y8" s="453" t="s">
        <v>172</v>
      </c>
      <c r="Z8" s="454" t="s">
        <v>173</v>
      </c>
      <c r="AA8" s="455" t="s">
        <v>174</v>
      </c>
    </row>
    <row r="9" spans="1:27" ht="12" thickBot="1" x14ac:dyDescent="0.25">
      <c r="A9" s="456">
        <v>1</v>
      </c>
      <c r="B9" s="457">
        <v>2</v>
      </c>
      <c r="C9" s="458">
        <v>3</v>
      </c>
      <c r="D9" s="458">
        <v>4</v>
      </c>
      <c r="E9" s="458">
        <v>5</v>
      </c>
      <c r="F9" s="458">
        <v>6</v>
      </c>
      <c r="G9" s="458">
        <v>7</v>
      </c>
      <c r="H9" s="459">
        <v>8</v>
      </c>
      <c r="I9" s="458">
        <v>9</v>
      </c>
      <c r="J9" s="458">
        <v>10</v>
      </c>
      <c r="K9" s="460">
        <v>11</v>
      </c>
      <c r="L9" s="460">
        <v>12</v>
      </c>
      <c r="M9" s="706">
        <v>13</v>
      </c>
      <c r="N9" s="706">
        <v>14</v>
      </c>
      <c r="O9" s="461">
        <v>15</v>
      </c>
      <c r="P9" s="755">
        <v>1</v>
      </c>
      <c r="Q9" s="462">
        <v>2</v>
      </c>
      <c r="R9" s="463">
        <v>3</v>
      </c>
      <c r="S9" s="463">
        <v>4</v>
      </c>
      <c r="T9" s="463">
        <v>5</v>
      </c>
      <c r="U9" s="463">
        <v>6</v>
      </c>
      <c r="V9" s="464">
        <v>1</v>
      </c>
      <c r="W9" s="465">
        <v>8</v>
      </c>
      <c r="X9" s="466">
        <v>9</v>
      </c>
      <c r="Y9" s="467">
        <v>10</v>
      </c>
      <c r="Z9" s="468">
        <v>11</v>
      </c>
      <c r="AA9" s="469">
        <v>12</v>
      </c>
    </row>
    <row r="10" spans="1:27" ht="12.2" customHeight="1" x14ac:dyDescent="0.2">
      <c r="A10" s="470">
        <v>3111</v>
      </c>
      <c r="B10" s="471" t="s">
        <v>25</v>
      </c>
      <c r="C10" s="472">
        <v>4820481</v>
      </c>
      <c r="D10" s="472">
        <v>4684969</v>
      </c>
      <c r="E10" s="472">
        <v>4750114.32</v>
      </c>
      <c r="F10" s="472">
        <v>4616654.16</v>
      </c>
      <c r="G10" s="472">
        <v>4644138.13</v>
      </c>
      <c r="H10" s="473">
        <v>4787693.96</v>
      </c>
      <c r="I10" s="474">
        <v>4873839.6500000004</v>
      </c>
      <c r="J10" s="472">
        <v>4862351.7</v>
      </c>
      <c r="K10" s="472">
        <v>4961976.09</v>
      </c>
      <c r="L10" s="472">
        <v>4911774.37</v>
      </c>
      <c r="M10" s="473">
        <v>4699905.21</v>
      </c>
      <c r="N10" s="707">
        <v>4731182.93</v>
      </c>
      <c r="O10" s="475">
        <v>4856929.17</v>
      </c>
      <c r="P10" s="715">
        <v>5070000</v>
      </c>
      <c r="Q10" s="476">
        <v>2967060</v>
      </c>
      <c r="R10" s="477">
        <f>W10*0.57</f>
        <v>1198675.7999999998</v>
      </c>
      <c r="S10" s="477">
        <f>W10*0.23</f>
        <v>483676.2</v>
      </c>
      <c r="T10" s="477">
        <f>W10*0.14</f>
        <v>294411.60000000003</v>
      </c>
      <c r="U10" s="477">
        <f>W10*0.06</f>
        <v>126176.4</v>
      </c>
      <c r="V10" s="478">
        <f t="shared" ref="V10:V58" si="0">S10+T10+U10</f>
        <v>904264.20000000007</v>
      </c>
      <c r="W10" s="479">
        <f>P10-Q10-X10</f>
        <v>2102940</v>
      </c>
      <c r="X10" s="477">
        <v>0</v>
      </c>
      <c r="Y10" s="480">
        <f>M10-L10</f>
        <v>-211869.16000000015</v>
      </c>
      <c r="Z10" s="425">
        <v>5040000</v>
      </c>
      <c r="AA10" s="481">
        <v>5250000</v>
      </c>
    </row>
    <row r="11" spans="1:27" ht="12.2" customHeight="1" x14ac:dyDescent="0.2">
      <c r="A11" s="482">
        <v>311</v>
      </c>
      <c r="B11" s="483" t="s">
        <v>26</v>
      </c>
      <c r="C11" s="484">
        <f t="shared" ref="C11:H11" si="1">C10</f>
        <v>4820481</v>
      </c>
      <c r="D11" s="484">
        <f t="shared" si="1"/>
        <v>4684969</v>
      </c>
      <c r="E11" s="484">
        <f t="shared" si="1"/>
        <v>4750114.32</v>
      </c>
      <c r="F11" s="484">
        <f t="shared" si="1"/>
        <v>4616654.16</v>
      </c>
      <c r="G11" s="484">
        <f t="shared" si="1"/>
        <v>4644138.13</v>
      </c>
      <c r="H11" s="485">
        <f t="shared" si="1"/>
        <v>4787693.96</v>
      </c>
      <c r="I11" s="486">
        <v>4873839.6500000004</v>
      </c>
      <c r="J11" s="484">
        <f>J10</f>
        <v>4862351.7</v>
      </c>
      <c r="K11" s="484">
        <f t="shared" ref="K11:W11" si="2">K10</f>
        <v>4961976.09</v>
      </c>
      <c r="L11" s="484">
        <f t="shared" si="2"/>
        <v>4911774.37</v>
      </c>
      <c r="M11" s="485">
        <v>4699905.21</v>
      </c>
      <c r="N11" s="708">
        <v>4731182.93</v>
      </c>
      <c r="O11" s="487">
        <f>O10</f>
        <v>4856929.17</v>
      </c>
      <c r="P11" s="756">
        <f>P10</f>
        <v>5070000</v>
      </c>
      <c r="Q11" s="488">
        <v>2967060</v>
      </c>
      <c r="R11" s="489">
        <f>R10</f>
        <v>1198675.7999999998</v>
      </c>
      <c r="S11" s="489">
        <f t="shared" ref="S11:U11" si="3">S10</f>
        <v>483676.2</v>
      </c>
      <c r="T11" s="489">
        <f t="shared" si="3"/>
        <v>294411.60000000003</v>
      </c>
      <c r="U11" s="489">
        <f t="shared" si="3"/>
        <v>126176.4</v>
      </c>
      <c r="V11" s="490">
        <f t="shared" si="0"/>
        <v>904264.20000000007</v>
      </c>
      <c r="W11" s="491">
        <f t="shared" si="2"/>
        <v>2102940</v>
      </c>
      <c r="X11" s="492">
        <v>0</v>
      </c>
      <c r="Y11" s="493">
        <f t="shared" ref="Y11:Y67" si="4">M11-L11</f>
        <v>-211869.16000000015</v>
      </c>
      <c r="Z11" s="494">
        <v>5040000</v>
      </c>
      <c r="AA11" s="495">
        <v>5250000</v>
      </c>
    </row>
    <row r="12" spans="1:27" ht="12.2" customHeight="1" x14ac:dyDescent="0.2">
      <c r="A12" s="496">
        <v>3131</v>
      </c>
      <c r="B12" s="497" t="s">
        <v>27</v>
      </c>
      <c r="C12" s="498">
        <v>603683</v>
      </c>
      <c r="D12" s="498">
        <v>576434</v>
      </c>
      <c r="E12" s="498">
        <v>459950.3</v>
      </c>
      <c r="F12" s="498">
        <v>525433.39</v>
      </c>
      <c r="G12" s="498">
        <v>363190.46</v>
      </c>
      <c r="H12" s="499">
        <v>373935.75</v>
      </c>
      <c r="I12" s="500">
        <v>381306.58</v>
      </c>
      <c r="J12" s="498">
        <v>377284.75</v>
      </c>
      <c r="K12" s="498">
        <v>378056.32</v>
      </c>
      <c r="L12" s="498">
        <v>374377.13</v>
      </c>
      <c r="M12" s="499">
        <v>355760.77</v>
      </c>
      <c r="N12" s="709">
        <v>358501.09</v>
      </c>
      <c r="O12" s="501">
        <v>368006.16</v>
      </c>
      <c r="P12" s="712">
        <v>395000</v>
      </c>
      <c r="Q12" s="502">
        <v>241730</v>
      </c>
      <c r="R12" s="503">
        <f>W12*0.57</f>
        <v>87363.9</v>
      </c>
      <c r="S12" s="503">
        <f>W12*0.23</f>
        <v>35252.1</v>
      </c>
      <c r="T12" s="503">
        <f>W12*0.14</f>
        <v>21457.800000000003</v>
      </c>
      <c r="U12" s="503">
        <f>W12*0.06</f>
        <v>9196.1999999999989</v>
      </c>
      <c r="V12" s="504">
        <f t="shared" si="0"/>
        <v>65906.100000000006</v>
      </c>
      <c r="W12" s="505">
        <f>P12-Q12-X12</f>
        <v>153270</v>
      </c>
      <c r="X12" s="503">
        <v>0</v>
      </c>
      <c r="Y12" s="506">
        <f t="shared" si="4"/>
        <v>-18616.359999999986</v>
      </c>
      <c r="Z12" s="507">
        <v>400000</v>
      </c>
      <c r="AA12" s="508">
        <v>415000</v>
      </c>
    </row>
    <row r="13" spans="1:27" ht="12.2" customHeight="1" x14ac:dyDescent="0.2">
      <c r="A13" s="496">
        <v>3132</v>
      </c>
      <c r="B13" s="509" t="s">
        <v>28</v>
      </c>
      <c r="C13" s="498">
        <v>748672</v>
      </c>
      <c r="D13" s="498">
        <v>726663</v>
      </c>
      <c r="E13" s="498">
        <v>679938.73</v>
      </c>
      <c r="F13" s="498">
        <v>625406.31999999995</v>
      </c>
      <c r="G13" s="498">
        <v>692111.61</v>
      </c>
      <c r="H13" s="499">
        <v>742445</v>
      </c>
      <c r="I13" s="500">
        <v>757099.11</v>
      </c>
      <c r="J13" s="498">
        <v>730720.11</v>
      </c>
      <c r="K13" s="498">
        <v>738559.41</v>
      </c>
      <c r="L13" s="498">
        <v>762291.98</v>
      </c>
      <c r="M13" s="499">
        <v>728043.93</v>
      </c>
      <c r="N13" s="709">
        <v>724318.42</v>
      </c>
      <c r="O13" s="501">
        <v>758982.28</v>
      </c>
      <c r="P13" s="712">
        <v>800000</v>
      </c>
      <c r="Q13" s="502">
        <v>508720</v>
      </c>
      <c r="R13" s="503">
        <f>W13*0.57</f>
        <v>166029.59999999998</v>
      </c>
      <c r="S13" s="503">
        <f>W13*0.23</f>
        <v>66994.400000000009</v>
      </c>
      <c r="T13" s="503">
        <f>W13*0.14</f>
        <v>40779.200000000004</v>
      </c>
      <c r="U13" s="503">
        <f>W13*0.06</f>
        <v>17476.8</v>
      </c>
      <c r="V13" s="504">
        <f t="shared" si="0"/>
        <v>125250.40000000001</v>
      </c>
      <c r="W13" s="505">
        <f>P13-Q13-X13</f>
        <v>291280</v>
      </c>
      <c r="X13" s="503">
        <v>0</v>
      </c>
      <c r="Y13" s="506">
        <f t="shared" si="4"/>
        <v>-34248.04999999993</v>
      </c>
      <c r="Z13" s="507">
        <v>833000</v>
      </c>
      <c r="AA13" s="508">
        <v>870000</v>
      </c>
    </row>
    <row r="14" spans="1:27" ht="12.2" customHeight="1" x14ac:dyDescent="0.2">
      <c r="A14" s="496">
        <v>3133</v>
      </c>
      <c r="B14" s="497" t="s">
        <v>29</v>
      </c>
      <c r="C14" s="498">
        <v>82112</v>
      </c>
      <c r="D14" s="498">
        <v>79699</v>
      </c>
      <c r="E14" s="498">
        <v>80730.22</v>
      </c>
      <c r="F14" s="498">
        <v>78754.77</v>
      </c>
      <c r="G14" s="498">
        <v>83361.210000000006</v>
      </c>
      <c r="H14" s="499">
        <v>81830.100000000006</v>
      </c>
      <c r="I14" s="500">
        <v>83036.72</v>
      </c>
      <c r="J14" s="498">
        <v>80143.539999999994</v>
      </c>
      <c r="K14" s="498">
        <v>81003.12</v>
      </c>
      <c r="L14" s="498">
        <v>6442.51</v>
      </c>
      <c r="M14" s="499">
        <v>0</v>
      </c>
      <c r="N14" s="709">
        <v>0</v>
      </c>
      <c r="O14" s="501">
        <v>0</v>
      </c>
      <c r="P14" s="712">
        <v>0</v>
      </c>
      <c r="Q14" s="502">
        <v>0</v>
      </c>
      <c r="R14" s="503">
        <v>0</v>
      </c>
      <c r="S14" s="503">
        <v>0</v>
      </c>
      <c r="T14" s="503">
        <v>0</v>
      </c>
      <c r="U14" s="503">
        <v>0</v>
      </c>
      <c r="V14" s="504">
        <f t="shared" si="0"/>
        <v>0</v>
      </c>
      <c r="W14" s="505">
        <f>P14-Q14-X14</f>
        <v>0</v>
      </c>
      <c r="X14" s="503">
        <v>0</v>
      </c>
      <c r="Y14" s="506">
        <f t="shared" si="4"/>
        <v>-6442.51</v>
      </c>
      <c r="Z14" s="507">
        <v>0</v>
      </c>
      <c r="AA14" s="508">
        <v>0</v>
      </c>
    </row>
    <row r="15" spans="1:27" ht="12.2" customHeight="1" x14ac:dyDescent="0.2">
      <c r="A15" s="482">
        <v>313</v>
      </c>
      <c r="B15" s="483" t="s">
        <v>30</v>
      </c>
      <c r="C15" s="484">
        <f t="shared" ref="C15:H15" si="5">SUM(C12:C14)</f>
        <v>1434467</v>
      </c>
      <c r="D15" s="484">
        <f t="shared" si="5"/>
        <v>1382796</v>
      </c>
      <c r="E15" s="484">
        <f t="shared" si="5"/>
        <v>1220619.25</v>
      </c>
      <c r="F15" s="484">
        <f t="shared" si="5"/>
        <v>1229594.48</v>
      </c>
      <c r="G15" s="484">
        <f t="shared" si="5"/>
        <v>1138663.28</v>
      </c>
      <c r="H15" s="485">
        <f t="shared" si="5"/>
        <v>1198210.8500000001</v>
      </c>
      <c r="I15" s="486">
        <v>1221442.4099999999</v>
      </c>
      <c r="J15" s="484">
        <f>SUM(J12:J14)</f>
        <v>1188148.3999999999</v>
      </c>
      <c r="K15" s="484">
        <f t="shared" ref="K15:W15" si="6">SUM(K12:K14)</f>
        <v>1197618.8500000001</v>
      </c>
      <c r="L15" s="484">
        <f t="shared" si="6"/>
        <v>1143111.6199999999</v>
      </c>
      <c r="M15" s="485">
        <v>1083804.7000000002</v>
      </c>
      <c r="N15" s="708">
        <v>1082819.51</v>
      </c>
      <c r="O15" s="487">
        <f>O12+O13+O14</f>
        <v>1126988.44</v>
      </c>
      <c r="P15" s="756">
        <f>P12+P13+P14</f>
        <v>1195000</v>
      </c>
      <c r="Q15" s="488">
        <v>750450</v>
      </c>
      <c r="R15" s="489">
        <f>R12+R13+R14</f>
        <v>253393.49999999997</v>
      </c>
      <c r="S15" s="489">
        <f t="shared" ref="S15:U15" si="7">S12+S13+S14</f>
        <v>102246.5</v>
      </c>
      <c r="T15" s="489">
        <f t="shared" si="7"/>
        <v>62237.000000000007</v>
      </c>
      <c r="U15" s="489">
        <f t="shared" si="7"/>
        <v>26673</v>
      </c>
      <c r="V15" s="490">
        <f t="shared" si="0"/>
        <v>191156.5</v>
      </c>
      <c r="W15" s="491">
        <f t="shared" si="6"/>
        <v>444550</v>
      </c>
      <c r="X15" s="510">
        <v>0</v>
      </c>
      <c r="Y15" s="511">
        <f t="shared" si="4"/>
        <v>-59306.919999999693</v>
      </c>
      <c r="Z15" s="494">
        <v>1233000</v>
      </c>
      <c r="AA15" s="495">
        <v>1285000</v>
      </c>
    </row>
    <row r="16" spans="1:27" ht="12.2" customHeight="1" x14ac:dyDescent="0.2">
      <c r="A16" s="496">
        <v>3121</v>
      </c>
      <c r="B16" s="509" t="s">
        <v>31</v>
      </c>
      <c r="C16" s="498">
        <v>382946</v>
      </c>
      <c r="D16" s="498">
        <v>282358</v>
      </c>
      <c r="E16" s="498">
        <v>340640.22</v>
      </c>
      <c r="F16" s="498">
        <v>223698.42</v>
      </c>
      <c r="G16" s="498">
        <v>382863.4</v>
      </c>
      <c r="H16" s="499">
        <v>296393.5</v>
      </c>
      <c r="I16" s="500">
        <v>482178.12</v>
      </c>
      <c r="J16" s="498">
        <v>594402.43999999994</v>
      </c>
      <c r="K16" s="498">
        <v>413734.88</v>
      </c>
      <c r="L16" s="498">
        <v>669362.31999999995</v>
      </c>
      <c r="M16" s="499">
        <v>684113.39</v>
      </c>
      <c r="N16" s="709">
        <v>620105.81999999995</v>
      </c>
      <c r="O16" s="501">
        <v>802764.80000000005</v>
      </c>
      <c r="P16" s="712">
        <v>850000</v>
      </c>
      <c r="Q16" s="502">
        <v>71620</v>
      </c>
      <c r="R16" s="503">
        <f>W16*0.57</f>
        <v>443676.6</v>
      </c>
      <c r="S16" s="503">
        <f>W16*0.23</f>
        <v>179027.4</v>
      </c>
      <c r="T16" s="503">
        <f>W16*0.14</f>
        <v>108973.20000000001</v>
      </c>
      <c r="U16" s="503">
        <f>W16*0.06</f>
        <v>46702.799999999996</v>
      </c>
      <c r="V16" s="504">
        <f t="shared" si="0"/>
        <v>334703.39999999997</v>
      </c>
      <c r="W16" s="505">
        <f>P16-Q16-X16</f>
        <v>778380</v>
      </c>
      <c r="X16" s="512">
        <v>0</v>
      </c>
      <c r="Y16" s="513">
        <f t="shared" si="4"/>
        <v>14751.070000000065</v>
      </c>
      <c r="Z16" s="507">
        <v>565000</v>
      </c>
      <c r="AA16" s="508">
        <v>500000</v>
      </c>
    </row>
    <row r="17" spans="1:27" ht="12.2" customHeight="1" thickBot="1" x14ac:dyDescent="0.25">
      <c r="A17" s="514">
        <v>312</v>
      </c>
      <c r="B17" s="515" t="s">
        <v>32</v>
      </c>
      <c r="C17" s="516">
        <f t="shared" ref="C17:H17" si="8">C16</f>
        <v>382946</v>
      </c>
      <c r="D17" s="516">
        <f t="shared" si="8"/>
        <v>282358</v>
      </c>
      <c r="E17" s="516">
        <f t="shared" si="8"/>
        <v>340640.22</v>
      </c>
      <c r="F17" s="516">
        <f t="shared" si="8"/>
        <v>223698.42</v>
      </c>
      <c r="G17" s="516">
        <f t="shared" si="8"/>
        <v>382863.4</v>
      </c>
      <c r="H17" s="517">
        <f t="shared" si="8"/>
        <v>296393.5</v>
      </c>
      <c r="I17" s="518">
        <v>482178.12</v>
      </c>
      <c r="J17" s="516">
        <f>J16</f>
        <v>594402.43999999994</v>
      </c>
      <c r="K17" s="516">
        <f t="shared" ref="K17:W17" si="9">K16</f>
        <v>413734.88</v>
      </c>
      <c r="L17" s="516">
        <f t="shared" si="9"/>
        <v>669362.31999999995</v>
      </c>
      <c r="M17" s="517">
        <v>684113.39</v>
      </c>
      <c r="N17" s="710">
        <v>620105.81999999995</v>
      </c>
      <c r="O17" s="519">
        <f>O16</f>
        <v>802764.80000000005</v>
      </c>
      <c r="P17" s="757">
        <f>P16</f>
        <v>850000</v>
      </c>
      <c r="Q17" s="520">
        <v>71620</v>
      </c>
      <c r="R17" s="521">
        <f>R16</f>
        <v>443676.6</v>
      </c>
      <c r="S17" s="521">
        <f t="shared" ref="S17:U17" si="10">S16</f>
        <v>179027.4</v>
      </c>
      <c r="T17" s="521">
        <f t="shared" si="10"/>
        <v>108973.20000000001</v>
      </c>
      <c r="U17" s="521">
        <f t="shared" si="10"/>
        <v>46702.799999999996</v>
      </c>
      <c r="V17" s="522">
        <f t="shared" si="0"/>
        <v>334703.39999999997</v>
      </c>
      <c r="W17" s="523">
        <f t="shared" si="9"/>
        <v>778380</v>
      </c>
      <c r="X17" s="524">
        <v>0</v>
      </c>
      <c r="Y17" s="525">
        <f t="shared" si="4"/>
        <v>14751.070000000065</v>
      </c>
      <c r="Z17" s="526">
        <v>565000</v>
      </c>
      <c r="AA17" s="526">
        <v>500000</v>
      </c>
    </row>
    <row r="18" spans="1:27" ht="12" thickBot="1" x14ac:dyDescent="0.25">
      <c r="A18" s="527">
        <v>31</v>
      </c>
      <c r="B18" s="527" t="s">
        <v>33</v>
      </c>
      <c r="C18" s="528">
        <f t="shared" ref="C18:H18" si="11">C11+C15+C17</f>
        <v>6637894</v>
      </c>
      <c r="D18" s="528">
        <f t="shared" si="11"/>
        <v>6350123</v>
      </c>
      <c r="E18" s="528">
        <f t="shared" si="11"/>
        <v>6311373.79</v>
      </c>
      <c r="F18" s="528">
        <f t="shared" si="11"/>
        <v>6069947.0600000005</v>
      </c>
      <c r="G18" s="528">
        <f t="shared" si="11"/>
        <v>6165664.8100000005</v>
      </c>
      <c r="H18" s="528">
        <f t="shared" si="11"/>
        <v>6282298.3100000005</v>
      </c>
      <c r="I18" s="529">
        <v>6577460.1800000006</v>
      </c>
      <c r="J18" s="530">
        <f t="shared" ref="J18:L18" si="12">J10+J12+J13+J14+J16</f>
        <v>6644902.540000001</v>
      </c>
      <c r="K18" s="531">
        <f t="shared" si="12"/>
        <v>6573329.8200000003</v>
      </c>
      <c r="L18" s="531">
        <f t="shared" si="12"/>
        <v>6724248.3100000005</v>
      </c>
      <c r="M18" s="532">
        <v>6467823.2999999998</v>
      </c>
      <c r="N18" s="533">
        <v>6434108.2599999998</v>
      </c>
      <c r="O18" s="766">
        <f>O11+O15+O17</f>
        <v>6786682.4099999992</v>
      </c>
      <c r="P18" s="536">
        <f>P11+P15+P17</f>
        <v>7115000</v>
      </c>
      <c r="Q18" s="534">
        <v>3789130</v>
      </c>
      <c r="R18" s="535">
        <f>R11+R15+R17</f>
        <v>1895745.9</v>
      </c>
      <c r="S18" s="535">
        <f t="shared" ref="S18:U18" si="13">S11+S15+S17</f>
        <v>764950.1</v>
      </c>
      <c r="T18" s="535">
        <f t="shared" si="13"/>
        <v>465621.80000000005</v>
      </c>
      <c r="U18" s="535">
        <f t="shared" si="13"/>
        <v>199552.19999999998</v>
      </c>
      <c r="V18" s="536">
        <f t="shared" si="0"/>
        <v>1430124.0999999999</v>
      </c>
      <c r="W18" s="537">
        <f>W10+W12+W13+W14+W16</f>
        <v>3325870</v>
      </c>
      <c r="X18" s="538">
        <f t="shared" ref="X18:AA18" si="14">X10+X12+X13+X14+X16</f>
        <v>0</v>
      </c>
      <c r="Y18" s="537">
        <f t="shared" si="14"/>
        <v>-256425.01</v>
      </c>
      <c r="Z18" s="537">
        <f t="shared" si="14"/>
        <v>6838000</v>
      </c>
      <c r="AA18" s="537">
        <f t="shared" si="14"/>
        <v>7035000</v>
      </c>
    </row>
    <row r="19" spans="1:27" ht="12.2" customHeight="1" x14ac:dyDescent="0.2">
      <c r="A19" s="470">
        <v>3211</v>
      </c>
      <c r="B19" s="471" t="s">
        <v>34</v>
      </c>
      <c r="C19" s="472">
        <v>36243</v>
      </c>
      <c r="D19" s="472">
        <v>34393</v>
      </c>
      <c r="E19" s="472">
        <v>20957.53</v>
      </c>
      <c r="F19" s="472">
        <v>21033.360000000001</v>
      </c>
      <c r="G19" s="472">
        <v>14303.88</v>
      </c>
      <c r="H19" s="473">
        <v>15998.67</v>
      </c>
      <c r="I19" s="474">
        <v>2017.57</v>
      </c>
      <c r="J19" s="472">
        <v>8833.02</v>
      </c>
      <c r="K19" s="498">
        <v>19050.52</v>
      </c>
      <c r="L19" s="472">
        <v>9861.84</v>
      </c>
      <c r="M19" s="473">
        <v>480</v>
      </c>
      <c r="N19" s="707">
        <v>23040</v>
      </c>
      <c r="O19" s="475">
        <v>11302.21</v>
      </c>
      <c r="P19" s="711">
        <v>25000</v>
      </c>
      <c r="Q19" s="476">
        <v>0</v>
      </c>
      <c r="R19" s="477">
        <v>12539.999999999998</v>
      </c>
      <c r="S19" s="477">
        <v>5060</v>
      </c>
      <c r="T19" s="477">
        <v>1078</v>
      </c>
      <c r="U19" s="477">
        <v>462</v>
      </c>
      <c r="V19" s="478">
        <f t="shared" si="0"/>
        <v>6600</v>
      </c>
      <c r="W19" s="479">
        <f>P19-Q19-X19</f>
        <v>25000</v>
      </c>
      <c r="X19" s="540">
        <v>0</v>
      </c>
      <c r="Y19" s="541">
        <f>M19-L19</f>
        <v>-9381.84</v>
      </c>
      <c r="Z19" s="507">
        <v>17000</v>
      </c>
      <c r="AA19" s="508">
        <v>20000</v>
      </c>
    </row>
    <row r="20" spans="1:27" ht="12.2" customHeight="1" x14ac:dyDescent="0.2">
      <c r="A20" s="496">
        <v>3212</v>
      </c>
      <c r="B20" s="509" t="s">
        <v>35</v>
      </c>
      <c r="C20" s="498">
        <v>149764</v>
      </c>
      <c r="D20" s="498">
        <v>153254</v>
      </c>
      <c r="E20" s="498">
        <v>154602</v>
      </c>
      <c r="F20" s="498">
        <v>140147</v>
      </c>
      <c r="G20" s="498">
        <v>142298.45000000001</v>
      </c>
      <c r="H20" s="499">
        <v>133970.44</v>
      </c>
      <c r="I20" s="500">
        <v>135740.32999999999</v>
      </c>
      <c r="J20" s="498">
        <v>153130.56</v>
      </c>
      <c r="K20" s="498">
        <v>141889.81</v>
      </c>
      <c r="L20" s="498">
        <v>146370.32999999999</v>
      </c>
      <c r="M20" s="499">
        <v>140574.34</v>
      </c>
      <c r="N20" s="709">
        <v>142833.10999999999</v>
      </c>
      <c r="O20" s="501">
        <v>161029.92000000001</v>
      </c>
      <c r="P20" s="712">
        <v>171000</v>
      </c>
      <c r="Q20" s="502">
        <v>76032</v>
      </c>
      <c r="R20" s="503">
        <v>41021.759999999995</v>
      </c>
      <c r="S20" s="503">
        <v>16552.64</v>
      </c>
      <c r="T20" s="503">
        <v>9515.52</v>
      </c>
      <c r="U20" s="503">
        <v>4078.08</v>
      </c>
      <c r="V20" s="504">
        <f t="shared" si="0"/>
        <v>30146.239999999998</v>
      </c>
      <c r="W20" s="505">
        <f>P20-Q20-X20</f>
        <v>94968</v>
      </c>
      <c r="X20" s="512">
        <v>0</v>
      </c>
      <c r="Y20" s="513">
        <f t="shared" si="4"/>
        <v>-5795.9899999999907</v>
      </c>
      <c r="Z20" s="507">
        <v>148000</v>
      </c>
      <c r="AA20" s="508">
        <v>159000</v>
      </c>
    </row>
    <row r="21" spans="1:27" ht="12.2" customHeight="1" x14ac:dyDescent="0.2">
      <c r="A21" s="496">
        <v>3213</v>
      </c>
      <c r="B21" s="497" t="s">
        <v>36</v>
      </c>
      <c r="C21" s="498">
        <v>33492</v>
      </c>
      <c r="D21" s="498">
        <v>48714</v>
      </c>
      <c r="E21" s="498">
        <v>66107.56</v>
      </c>
      <c r="F21" s="498">
        <v>50171.34</v>
      </c>
      <c r="G21" s="498">
        <v>62876.93</v>
      </c>
      <c r="H21" s="499">
        <v>40419.199999999997</v>
      </c>
      <c r="I21" s="500">
        <v>18000</v>
      </c>
      <c r="J21" s="498">
        <v>32061.19</v>
      </c>
      <c r="K21" s="498">
        <v>14442.83</v>
      </c>
      <c r="L21" s="498">
        <v>21150.799999999999</v>
      </c>
      <c r="M21" s="499">
        <v>16939.13</v>
      </c>
      <c r="N21" s="709">
        <v>30090</v>
      </c>
      <c r="O21" s="501">
        <v>39810</v>
      </c>
      <c r="P21" s="712">
        <v>43000</v>
      </c>
      <c r="Q21" s="502">
        <v>0</v>
      </c>
      <c r="R21" s="503">
        <v>19950</v>
      </c>
      <c r="S21" s="503">
        <v>8050</v>
      </c>
      <c r="T21" s="503">
        <v>2240</v>
      </c>
      <c r="U21" s="503">
        <v>960</v>
      </c>
      <c r="V21" s="504">
        <f t="shared" si="0"/>
        <v>11250</v>
      </c>
      <c r="W21" s="505">
        <f>P21-Q21-X21</f>
        <v>41000</v>
      </c>
      <c r="X21" s="512">
        <v>2000</v>
      </c>
      <c r="Y21" s="513">
        <f t="shared" si="4"/>
        <v>-4211.6699999999983</v>
      </c>
      <c r="Z21" s="507">
        <v>26000</v>
      </c>
      <c r="AA21" s="508">
        <v>37000</v>
      </c>
    </row>
    <row r="22" spans="1:27" ht="12.2" customHeight="1" x14ac:dyDescent="0.2">
      <c r="A22" s="482">
        <v>321</v>
      </c>
      <c r="B22" s="483" t="s">
        <v>37</v>
      </c>
      <c r="C22" s="484">
        <f t="shared" ref="C22:H22" si="15">SUM(C19:C21)</f>
        <v>219499</v>
      </c>
      <c r="D22" s="484">
        <f t="shared" si="15"/>
        <v>236361</v>
      </c>
      <c r="E22" s="484">
        <f t="shared" si="15"/>
        <v>241667.09</v>
      </c>
      <c r="F22" s="484">
        <f t="shared" si="15"/>
        <v>211351.69999999998</v>
      </c>
      <c r="G22" s="484">
        <f t="shared" si="15"/>
        <v>219479.26</v>
      </c>
      <c r="H22" s="485">
        <f t="shared" si="15"/>
        <v>190388.31</v>
      </c>
      <c r="I22" s="486">
        <v>155757.9</v>
      </c>
      <c r="J22" s="484">
        <f>SUM(J19:J21)</f>
        <v>194024.77</v>
      </c>
      <c r="K22" s="484">
        <f t="shared" ref="K22:X22" si="16">SUM(K19:K21)</f>
        <v>175383.15999999997</v>
      </c>
      <c r="L22" s="484">
        <f t="shared" si="16"/>
        <v>177382.96999999997</v>
      </c>
      <c r="M22" s="485">
        <v>157993.47</v>
      </c>
      <c r="N22" s="708">
        <v>195963.11</v>
      </c>
      <c r="O22" s="487">
        <f>O19+O20+O21</f>
        <v>212142.13</v>
      </c>
      <c r="P22" s="758">
        <f>P19+P20+P21</f>
        <v>239000</v>
      </c>
      <c r="Q22" s="488">
        <v>76032</v>
      </c>
      <c r="R22" s="489">
        <v>73511.759999999995</v>
      </c>
      <c r="S22" s="489">
        <v>29662.639999999999</v>
      </c>
      <c r="T22" s="489">
        <v>12833.52</v>
      </c>
      <c r="U22" s="489">
        <v>5500.08</v>
      </c>
      <c r="V22" s="490">
        <f t="shared" si="0"/>
        <v>47996.240000000005</v>
      </c>
      <c r="W22" s="491">
        <f t="shared" si="16"/>
        <v>160968</v>
      </c>
      <c r="X22" s="510">
        <f t="shared" si="16"/>
        <v>2000</v>
      </c>
      <c r="Y22" s="511">
        <f t="shared" si="4"/>
        <v>-19389.499999999971</v>
      </c>
      <c r="Z22" s="494">
        <v>191000</v>
      </c>
      <c r="AA22" s="495">
        <v>216000</v>
      </c>
    </row>
    <row r="23" spans="1:27" ht="12.2" customHeight="1" x14ac:dyDescent="0.2">
      <c r="A23" s="496">
        <v>3221</v>
      </c>
      <c r="B23" s="509" t="s">
        <v>38</v>
      </c>
      <c r="C23" s="498">
        <v>91223</v>
      </c>
      <c r="D23" s="498">
        <v>74131</v>
      </c>
      <c r="E23" s="498">
        <v>75795</v>
      </c>
      <c r="F23" s="498">
        <v>59175.8</v>
      </c>
      <c r="G23" s="498">
        <v>82344.06</v>
      </c>
      <c r="H23" s="499">
        <v>89138.39</v>
      </c>
      <c r="I23" s="500">
        <v>82477.3</v>
      </c>
      <c r="J23" s="498">
        <v>75231.8</v>
      </c>
      <c r="K23" s="498">
        <v>71166.3</v>
      </c>
      <c r="L23" s="498">
        <v>57215.77</v>
      </c>
      <c r="M23" s="499">
        <v>53117.65</v>
      </c>
      <c r="N23" s="709">
        <v>60599.03</v>
      </c>
      <c r="O23" s="501">
        <v>69713.81</v>
      </c>
      <c r="P23" s="712">
        <v>70000</v>
      </c>
      <c r="Q23" s="502">
        <v>30524</v>
      </c>
      <c r="R23" s="503">
        <v>17371.32</v>
      </c>
      <c r="S23" s="503">
        <v>7009.4800000000005</v>
      </c>
      <c r="T23" s="503">
        <v>3286.6400000000003</v>
      </c>
      <c r="U23" s="503">
        <v>1408.56</v>
      </c>
      <c r="V23" s="504">
        <f t="shared" si="0"/>
        <v>11704.68</v>
      </c>
      <c r="W23" s="505">
        <f>P23-Q23-X23</f>
        <v>39476</v>
      </c>
      <c r="X23" s="512">
        <v>0</v>
      </c>
      <c r="Y23" s="513">
        <f t="shared" si="4"/>
        <v>-4098.1199999999953</v>
      </c>
      <c r="Z23" s="507">
        <v>61000</v>
      </c>
      <c r="AA23" s="508">
        <v>72000</v>
      </c>
    </row>
    <row r="24" spans="1:27" ht="12.2" customHeight="1" x14ac:dyDescent="0.2">
      <c r="A24" s="496">
        <v>3223</v>
      </c>
      <c r="B24" s="497" t="s">
        <v>39</v>
      </c>
      <c r="C24" s="498">
        <v>190645</v>
      </c>
      <c r="D24" s="498">
        <v>192074</v>
      </c>
      <c r="E24" s="498">
        <v>186188.59</v>
      </c>
      <c r="F24" s="498">
        <v>138234.17000000001</v>
      </c>
      <c r="G24" s="498">
        <v>137853.46</v>
      </c>
      <c r="H24" s="499">
        <v>124391.69</v>
      </c>
      <c r="I24" s="500">
        <v>119413.71</v>
      </c>
      <c r="J24" s="498">
        <v>135649.54</v>
      </c>
      <c r="K24" s="498">
        <v>133853.75</v>
      </c>
      <c r="L24" s="498">
        <v>145266.51999999999</v>
      </c>
      <c r="M24" s="499">
        <v>102925.97</v>
      </c>
      <c r="N24" s="709">
        <v>138237</v>
      </c>
      <c r="O24" s="501">
        <v>191826.96</v>
      </c>
      <c r="P24" s="712">
        <v>222000</v>
      </c>
      <c r="Q24" s="502">
        <v>110729</v>
      </c>
      <c r="R24" s="503">
        <v>24664.469999999998</v>
      </c>
      <c r="S24" s="503">
        <v>9952.33</v>
      </c>
      <c r="T24" s="503">
        <v>1297.94</v>
      </c>
      <c r="U24" s="503">
        <v>556.26</v>
      </c>
      <c r="V24" s="504">
        <f t="shared" si="0"/>
        <v>11806.53</v>
      </c>
      <c r="W24" s="505">
        <f>P24-Q24-X24</f>
        <v>111271</v>
      </c>
      <c r="X24" s="512">
        <v>0</v>
      </c>
      <c r="Y24" s="513">
        <f t="shared" si="4"/>
        <v>-42340.549999999988</v>
      </c>
      <c r="Z24" s="507">
        <v>160000</v>
      </c>
      <c r="AA24" s="508">
        <v>160000</v>
      </c>
    </row>
    <row r="25" spans="1:27" ht="12.2" customHeight="1" x14ac:dyDescent="0.2">
      <c r="A25" s="496">
        <v>3224</v>
      </c>
      <c r="B25" s="497" t="s">
        <v>175</v>
      </c>
      <c r="C25" s="498">
        <v>0</v>
      </c>
      <c r="D25" s="498">
        <v>0</v>
      </c>
      <c r="E25" s="498">
        <v>0</v>
      </c>
      <c r="F25" s="498">
        <v>0</v>
      </c>
      <c r="G25" s="498">
        <v>0</v>
      </c>
      <c r="H25" s="499">
        <v>0</v>
      </c>
      <c r="I25" s="500">
        <v>0</v>
      </c>
      <c r="J25" s="498">
        <v>0</v>
      </c>
      <c r="K25" s="498">
        <v>0</v>
      </c>
      <c r="L25" s="498">
        <v>6615.87</v>
      </c>
      <c r="M25" s="499">
        <v>0</v>
      </c>
      <c r="N25" s="709">
        <v>0</v>
      </c>
      <c r="O25" s="501">
        <v>9993.48</v>
      </c>
      <c r="P25" s="712">
        <v>10000</v>
      </c>
      <c r="Q25" s="502">
        <v>0</v>
      </c>
      <c r="R25" s="503">
        <v>0</v>
      </c>
      <c r="S25" s="503">
        <v>0</v>
      </c>
      <c r="T25" s="503">
        <v>0</v>
      </c>
      <c r="U25" s="503">
        <v>0</v>
      </c>
      <c r="V25" s="504">
        <v>4300</v>
      </c>
      <c r="W25" s="505">
        <f>P25-Q25-X25</f>
        <v>10000</v>
      </c>
      <c r="X25" s="512">
        <v>0</v>
      </c>
      <c r="Y25" s="513">
        <f t="shared" si="4"/>
        <v>-6615.87</v>
      </c>
      <c r="Z25" s="507">
        <v>0</v>
      </c>
      <c r="AA25" s="508">
        <v>10000</v>
      </c>
    </row>
    <row r="26" spans="1:27" ht="12.2" customHeight="1" x14ac:dyDescent="0.2">
      <c r="A26" s="496">
        <v>3225</v>
      </c>
      <c r="B26" s="497" t="s">
        <v>41</v>
      </c>
      <c r="C26" s="498">
        <v>48789</v>
      </c>
      <c r="D26" s="498">
        <v>74995</v>
      </c>
      <c r="E26" s="498">
        <v>84723.44</v>
      </c>
      <c r="F26" s="498">
        <v>70682.820000000007</v>
      </c>
      <c r="G26" s="498">
        <v>46647.66</v>
      </c>
      <c r="H26" s="499">
        <v>36533.26</v>
      </c>
      <c r="I26" s="500">
        <v>37751.03</v>
      </c>
      <c r="J26" s="498">
        <v>112870.46</v>
      </c>
      <c r="K26" s="498">
        <v>109536.15</v>
      </c>
      <c r="L26" s="498">
        <v>54498.04</v>
      </c>
      <c r="M26" s="499">
        <v>28224.26</v>
      </c>
      <c r="N26" s="709">
        <v>48831.22</v>
      </c>
      <c r="O26" s="501">
        <v>46928.959999999999</v>
      </c>
      <c r="P26" s="712">
        <v>50000</v>
      </c>
      <c r="Q26" s="502">
        <v>24424</v>
      </c>
      <c r="R26" s="503">
        <v>14577.319999999998</v>
      </c>
      <c r="S26" s="503">
        <v>5882.4800000000005</v>
      </c>
      <c r="T26" s="503">
        <v>710.6400000000001</v>
      </c>
      <c r="U26" s="503">
        <v>304.56</v>
      </c>
      <c r="V26" s="504">
        <f t="shared" si="0"/>
        <v>6897.6800000000012</v>
      </c>
      <c r="W26" s="505">
        <f>P26-Q26-X26</f>
        <v>25576</v>
      </c>
      <c r="X26" s="512">
        <v>0</v>
      </c>
      <c r="Y26" s="513">
        <f t="shared" si="4"/>
        <v>-26273.780000000002</v>
      </c>
      <c r="Z26" s="507">
        <v>50000</v>
      </c>
      <c r="AA26" s="508">
        <v>90000</v>
      </c>
    </row>
    <row r="27" spans="1:27" ht="12.2" customHeight="1" x14ac:dyDescent="0.2">
      <c r="A27" s="496">
        <v>3227</v>
      </c>
      <c r="B27" s="497" t="s">
        <v>42</v>
      </c>
      <c r="C27" s="498">
        <v>306228</v>
      </c>
      <c r="D27" s="498">
        <v>213720</v>
      </c>
      <c r="E27" s="498">
        <v>168608.7</v>
      </c>
      <c r="F27" s="498">
        <v>129597.68</v>
      </c>
      <c r="G27" s="498">
        <v>109704.35</v>
      </c>
      <c r="H27" s="499">
        <v>66298.990000000005</v>
      </c>
      <c r="I27" s="500">
        <v>66058.75</v>
      </c>
      <c r="J27" s="498">
        <v>162549.4</v>
      </c>
      <c r="K27" s="498">
        <v>273065.42</v>
      </c>
      <c r="L27" s="498">
        <v>263093.08</v>
      </c>
      <c r="M27" s="499">
        <v>59936.52</v>
      </c>
      <c r="N27" s="709">
        <v>74210.62</v>
      </c>
      <c r="O27" s="501">
        <v>276124.09000000003</v>
      </c>
      <c r="P27" s="712">
        <v>283000</v>
      </c>
      <c r="Q27" s="502">
        <v>56250</v>
      </c>
      <c r="R27" s="503">
        <v>10573.5</v>
      </c>
      <c r="S27" s="503">
        <v>4266.5</v>
      </c>
      <c r="T27" s="503">
        <v>525</v>
      </c>
      <c r="U27" s="503">
        <v>225</v>
      </c>
      <c r="V27" s="504">
        <f t="shared" si="0"/>
        <v>5016.5</v>
      </c>
      <c r="W27" s="505">
        <f>P27-Q27-X27</f>
        <v>226750</v>
      </c>
      <c r="X27" s="512">
        <v>0</v>
      </c>
      <c r="Y27" s="513">
        <f t="shared" si="4"/>
        <v>-203156.56000000003</v>
      </c>
      <c r="Z27" s="507">
        <v>57000</v>
      </c>
      <c r="AA27" s="508">
        <v>160000</v>
      </c>
    </row>
    <row r="28" spans="1:27" ht="12.2" customHeight="1" x14ac:dyDescent="0.2">
      <c r="A28" s="482">
        <v>322</v>
      </c>
      <c r="B28" s="483" t="s">
        <v>43</v>
      </c>
      <c r="C28" s="484">
        <f t="shared" ref="C28:H28" si="17">SUM(C23:C27)</f>
        <v>636885</v>
      </c>
      <c r="D28" s="484">
        <f t="shared" si="17"/>
        <v>554920</v>
      </c>
      <c r="E28" s="484">
        <f t="shared" si="17"/>
        <v>515315.73000000004</v>
      </c>
      <c r="F28" s="484">
        <f t="shared" si="17"/>
        <v>397690.47000000003</v>
      </c>
      <c r="G28" s="484">
        <f t="shared" si="17"/>
        <v>376549.53</v>
      </c>
      <c r="H28" s="485">
        <f t="shared" si="17"/>
        <v>316362.33</v>
      </c>
      <c r="I28" s="486">
        <v>305700.79000000004</v>
      </c>
      <c r="J28" s="484">
        <f>SUM(J23:J27)</f>
        <v>486301.20000000007</v>
      </c>
      <c r="K28" s="484">
        <f t="shared" ref="K28:W28" si="18">SUM(K23:K27)</f>
        <v>587621.61999999988</v>
      </c>
      <c r="L28" s="484">
        <f t="shared" si="18"/>
        <v>526689.28000000003</v>
      </c>
      <c r="M28" s="485">
        <v>244204.4</v>
      </c>
      <c r="N28" s="708">
        <v>321877.87</v>
      </c>
      <c r="O28" s="487">
        <f>SUM(O23:O27)</f>
        <v>594587.30000000005</v>
      </c>
      <c r="P28" s="758">
        <f>SUM(P23:P27)</f>
        <v>635000</v>
      </c>
      <c r="Q28" s="488">
        <v>221927</v>
      </c>
      <c r="R28" s="489">
        <v>67186.609999999986</v>
      </c>
      <c r="S28" s="489">
        <v>27110.79</v>
      </c>
      <c r="T28" s="489">
        <v>5820.22</v>
      </c>
      <c r="U28" s="489">
        <v>2494.38</v>
      </c>
      <c r="V28" s="490">
        <f>S28+T28+U28-1</f>
        <v>35424.39</v>
      </c>
      <c r="W28" s="491">
        <f t="shared" si="18"/>
        <v>413073</v>
      </c>
      <c r="X28" s="510">
        <v>0</v>
      </c>
      <c r="Y28" s="511">
        <f t="shared" si="4"/>
        <v>-282484.88</v>
      </c>
      <c r="Z28" s="494">
        <v>328000</v>
      </c>
      <c r="AA28" s="495">
        <v>492000</v>
      </c>
    </row>
    <row r="29" spans="1:27" ht="12.2" customHeight="1" x14ac:dyDescent="0.2">
      <c r="A29" s="496">
        <v>3231</v>
      </c>
      <c r="B29" s="497" t="s">
        <v>44</v>
      </c>
      <c r="C29" s="498">
        <v>50370</v>
      </c>
      <c r="D29" s="498">
        <v>42645</v>
      </c>
      <c r="E29" s="498">
        <v>34165.85</v>
      </c>
      <c r="F29" s="498">
        <v>32772.86</v>
      </c>
      <c r="G29" s="498">
        <v>26812.880000000001</v>
      </c>
      <c r="H29" s="499">
        <v>31041.039999999997</v>
      </c>
      <c r="I29" s="500">
        <v>27198.2</v>
      </c>
      <c r="J29" s="498">
        <v>30634.84</v>
      </c>
      <c r="K29" s="498">
        <v>25097.91</v>
      </c>
      <c r="L29" s="498">
        <v>26473.68</v>
      </c>
      <c r="M29" s="499">
        <v>25260.91</v>
      </c>
      <c r="N29" s="709">
        <v>39550.01</v>
      </c>
      <c r="O29" s="501">
        <v>48782</v>
      </c>
      <c r="P29" s="713">
        <v>49400</v>
      </c>
      <c r="Q29" s="502">
        <v>24655</v>
      </c>
      <c r="R29" s="503">
        <v>9886.65</v>
      </c>
      <c r="S29" s="503">
        <v>3989.3500000000004</v>
      </c>
      <c r="T29" s="503">
        <v>188.3</v>
      </c>
      <c r="U29" s="503">
        <v>80.7</v>
      </c>
      <c r="V29" s="504">
        <f t="shared" si="0"/>
        <v>4258.3500000000004</v>
      </c>
      <c r="W29" s="505">
        <f t="shared" ref="W29:W36" si="19">P29-Q29-X29</f>
        <v>24745</v>
      </c>
      <c r="X29" s="512">
        <v>0</v>
      </c>
      <c r="Y29" s="513">
        <f t="shared" si="4"/>
        <v>-1212.7700000000004</v>
      </c>
      <c r="Z29" s="507">
        <v>31000</v>
      </c>
      <c r="AA29" s="508">
        <v>32000</v>
      </c>
    </row>
    <row r="30" spans="1:27" ht="12.2" customHeight="1" x14ac:dyDescent="0.2">
      <c r="A30" s="496">
        <v>3232</v>
      </c>
      <c r="B30" s="497" t="s">
        <v>45</v>
      </c>
      <c r="C30" s="498">
        <v>399080</v>
      </c>
      <c r="D30" s="498">
        <v>167575</v>
      </c>
      <c r="E30" s="498">
        <v>149437.10999999999</v>
      </c>
      <c r="F30" s="498">
        <v>102153.4</v>
      </c>
      <c r="G30" s="498">
        <v>104282.03</v>
      </c>
      <c r="H30" s="499">
        <v>129001.24</v>
      </c>
      <c r="I30" s="500">
        <v>190089.12</v>
      </c>
      <c r="J30" s="498">
        <v>170367.34</v>
      </c>
      <c r="K30" s="498">
        <v>206609.9</v>
      </c>
      <c r="L30" s="498">
        <v>193995.02</v>
      </c>
      <c r="M30" s="499">
        <v>118037.58</v>
      </c>
      <c r="N30" s="709">
        <v>122169.71</v>
      </c>
      <c r="O30" s="501">
        <v>195104.4</v>
      </c>
      <c r="P30" s="712">
        <v>181600</v>
      </c>
      <c r="Q30" s="502">
        <v>37700</v>
      </c>
      <c r="R30" s="503">
        <v>53066.999999999993</v>
      </c>
      <c r="S30" s="503">
        <v>21413</v>
      </c>
      <c r="T30" s="503">
        <v>8554</v>
      </c>
      <c r="U30" s="503">
        <v>3666</v>
      </c>
      <c r="V30" s="504">
        <f t="shared" si="0"/>
        <v>33633</v>
      </c>
      <c r="W30" s="505">
        <f t="shared" si="19"/>
        <v>143900</v>
      </c>
      <c r="X30" s="512">
        <v>0</v>
      </c>
      <c r="Y30" s="513">
        <f t="shared" si="4"/>
        <v>-75957.439999999988</v>
      </c>
      <c r="Z30" s="507">
        <v>141800</v>
      </c>
      <c r="AA30" s="508">
        <v>160000</v>
      </c>
    </row>
    <row r="31" spans="1:27" ht="12.2" customHeight="1" x14ac:dyDescent="0.2">
      <c r="A31" s="496">
        <v>3233</v>
      </c>
      <c r="B31" s="509" t="s">
        <v>46</v>
      </c>
      <c r="C31" s="498">
        <v>0</v>
      </c>
      <c r="D31" s="498">
        <v>4583</v>
      </c>
      <c r="E31" s="498">
        <v>7646.65</v>
      </c>
      <c r="F31" s="498">
        <v>5190.43</v>
      </c>
      <c r="G31" s="498">
        <v>8357.2900000000009</v>
      </c>
      <c r="H31" s="499">
        <v>9552.1200000000008</v>
      </c>
      <c r="I31" s="500">
        <v>1250</v>
      </c>
      <c r="J31" s="498">
        <v>350</v>
      </c>
      <c r="K31" s="498">
        <v>9500</v>
      </c>
      <c r="L31" s="498">
        <v>700</v>
      </c>
      <c r="M31" s="499">
        <v>350</v>
      </c>
      <c r="N31" s="709">
        <v>2992.5</v>
      </c>
      <c r="O31" s="501">
        <v>12711</v>
      </c>
      <c r="P31" s="712">
        <v>14000</v>
      </c>
      <c r="Q31" s="502">
        <v>0</v>
      </c>
      <c r="R31" s="503">
        <v>1709.9999999999998</v>
      </c>
      <c r="S31" s="503">
        <v>690</v>
      </c>
      <c r="T31" s="503">
        <v>348.00000000000006</v>
      </c>
      <c r="U31" s="503">
        <v>149</v>
      </c>
      <c r="V31" s="504">
        <f t="shared" si="0"/>
        <v>1187</v>
      </c>
      <c r="W31" s="505">
        <f t="shared" si="19"/>
        <v>14000</v>
      </c>
      <c r="X31" s="512">
        <v>0</v>
      </c>
      <c r="Y31" s="513">
        <f t="shared" si="4"/>
        <v>-350</v>
      </c>
      <c r="Z31" s="507">
        <v>3000</v>
      </c>
      <c r="AA31" s="508">
        <v>3000</v>
      </c>
    </row>
    <row r="32" spans="1:27" ht="12.2" customHeight="1" x14ac:dyDescent="0.2">
      <c r="A32" s="496">
        <v>3234</v>
      </c>
      <c r="B32" s="497" t="s">
        <v>47</v>
      </c>
      <c r="C32" s="498">
        <v>29745</v>
      </c>
      <c r="D32" s="498">
        <v>19546</v>
      </c>
      <c r="E32" s="498">
        <v>20952.009999999998</v>
      </c>
      <c r="F32" s="498">
        <v>15137.79</v>
      </c>
      <c r="G32" s="498">
        <v>19370</v>
      </c>
      <c r="H32" s="499">
        <v>21481.439999999999</v>
      </c>
      <c r="I32" s="500">
        <v>24015.82</v>
      </c>
      <c r="J32" s="498">
        <v>22300.93</v>
      </c>
      <c r="K32" s="498">
        <v>20423.38</v>
      </c>
      <c r="L32" s="498">
        <v>19151.32</v>
      </c>
      <c r="M32" s="499">
        <v>18201.75</v>
      </c>
      <c r="N32" s="709">
        <v>18866.04</v>
      </c>
      <c r="O32" s="501">
        <v>18934.23</v>
      </c>
      <c r="P32" s="712">
        <v>22000</v>
      </c>
      <c r="Q32" s="502">
        <v>16614</v>
      </c>
      <c r="R32" s="503">
        <v>3070.0199999999995</v>
      </c>
      <c r="S32" s="503">
        <v>1238.78</v>
      </c>
      <c r="T32" s="503">
        <v>334.04</v>
      </c>
      <c r="U32" s="503">
        <v>143.16</v>
      </c>
      <c r="V32" s="504">
        <f t="shared" si="0"/>
        <v>1715.98</v>
      </c>
      <c r="W32" s="505">
        <f t="shared" si="19"/>
        <v>5386</v>
      </c>
      <c r="X32" s="512">
        <v>0</v>
      </c>
      <c r="Y32" s="513">
        <f t="shared" si="4"/>
        <v>-949.56999999999971</v>
      </c>
      <c r="Z32" s="507">
        <v>22000</v>
      </c>
      <c r="AA32" s="508">
        <v>25000</v>
      </c>
    </row>
    <row r="33" spans="1:27" ht="12.2" customHeight="1" x14ac:dyDescent="0.2">
      <c r="A33" s="496">
        <v>3235</v>
      </c>
      <c r="B33" s="497" t="s">
        <v>48</v>
      </c>
      <c r="C33" s="498">
        <v>0</v>
      </c>
      <c r="D33" s="498">
        <v>6500</v>
      </c>
      <c r="E33" s="498">
        <v>31200</v>
      </c>
      <c r="F33" s="498">
        <v>31200</v>
      </c>
      <c r="G33" s="498">
        <v>21200</v>
      </c>
      <c r="H33" s="499">
        <v>12000</v>
      </c>
      <c r="I33" s="500">
        <v>11000</v>
      </c>
      <c r="J33" s="498">
        <v>0</v>
      </c>
      <c r="K33" s="498">
        <v>0</v>
      </c>
      <c r="L33" s="498">
        <v>6250</v>
      </c>
      <c r="M33" s="499">
        <v>6250</v>
      </c>
      <c r="N33" s="709">
        <v>25362.5</v>
      </c>
      <c r="O33" s="501">
        <v>31550</v>
      </c>
      <c r="P33" s="712">
        <v>33000</v>
      </c>
      <c r="Q33" s="502">
        <v>0</v>
      </c>
      <c r="R33" s="503">
        <v>14705.999999999998</v>
      </c>
      <c r="S33" s="503">
        <v>5934</v>
      </c>
      <c r="T33" s="503">
        <v>875.00000000000011</v>
      </c>
      <c r="U33" s="503">
        <v>375</v>
      </c>
      <c r="V33" s="504">
        <v>0</v>
      </c>
      <c r="W33" s="505">
        <f t="shared" si="19"/>
        <v>33000</v>
      </c>
      <c r="X33" s="512">
        <v>0</v>
      </c>
      <c r="Y33" s="513">
        <f t="shared" si="4"/>
        <v>0</v>
      </c>
      <c r="Z33" s="507">
        <v>18800</v>
      </c>
      <c r="AA33" s="508">
        <v>31000</v>
      </c>
    </row>
    <row r="34" spans="1:27" ht="12.2" customHeight="1" x14ac:dyDescent="0.2">
      <c r="A34" s="496">
        <v>3236</v>
      </c>
      <c r="B34" s="497" t="s">
        <v>49</v>
      </c>
      <c r="C34" s="498">
        <v>430</v>
      </c>
      <c r="D34" s="498">
        <v>1944</v>
      </c>
      <c r="E34" s="498">
        <v>1998.75</v>
      </c>
      <c r="F34" s="498">
        <v>2000</v>
      </c>
      <c r="G34" s="498">
        <v>3210</v>
      </c>
      <c r="H34" s="499">
        <v>995</v>
      </c>
      <c r="I34" s="500">
        <v>6085</v>
      </c>
      <c r="J34" s="498">
        <v>1455</v>
      </c>
      <c r="K34" s="498">
        <v>535</v>
      </c>
      <c r="L34" s="498">
        <v>1035</v>
      </c>
      <c r="M34" s="499">
        <v>950</v>
      </c>
      <c r="N34" s="709">
        <v>3270</v>
      </c>
      <c r="O34" s="501">
        <v>2750</v>
      </c>
      <c r="P34" s="712">
        <v>5000</v>
      </c>
      <c r="Q34" s="502">
        <v>0</v>
      </c>
      <c r="R34" s="503">
        <v>1709.9999999999998</v>
      </c>
      <c r="S34" s="503">
        <v>690</v>
      </c>
      <c r="T34" s="503">
        <v>210.00000000000003</v>
      </c>
      <c r="U34" s="503">
        <v>90</v>
      </c>
      <c r="V34" s="504">
        <f t="shared" si="0"/>
        <v>990</v>
      </c>
      <c r="W34" s="505">
        <f t="shared" si="19"/>
        <v>5000</v>
      </c>
      <c r="X34" s="512">
        <v>0</v>
      </c>
      <c r="Y34" s="513">
        <f t="shared" si="4"/>
        <v>-85</v>
      </c>
      <c r="Z34" s="507">
        <v>2000</v>
      </c>
      <c r="AA34" s="508">
        <v>5000</v>
      </c>
    </row>
    <row r="35" spans="1:27" ht="12.2" customHeight="1" x14ac:dyDescent="0.2">
      <c r="A35" s="496">
        <v>3237</v>
      </c>
      <c r="B35" s="497" t="s">
        <v>50</v>
      </c>
      <c r="C35" s="498">
        <v>4428</v>
      </c>
      <c r="D35" s="498">
        <v>31973</v>
      </c>
      <c r="E35" s="498">
        <v>9875</v>
      </c>
      <c r="F35" s="498">
        <v>32510</v>
      </c>
      <c r="G35" s="498">
        <v>43416.94</v>
      </c>
      <c r="H35" s="499">
        <v>38339.46</v>
      </c>
      <c r="I35" s="500">
        <v>36000</v>
      </c>
      <c r="J35" s="498">
        <v>48658.63</v>
      </c>
      <c r="K35" s="498">
        <v>45820</v>
      </c>
      <c r="L35" s="498">
        <v>67167.179999999993</v>
      </c>
      <c r="M35" s="499">
        <v>62004.42</v>
      </c>
      <c r="N35" s="709">
        <v>58533</v>
      </c>
      <c r="O35" s="501">
        <v>60587.5</v>
      </c>
      <c r="P35" s="712">
        <v>63000</v>
      </c>
      <c r="Q35" s="502">
        <v>0</v>
      </c>
      <c r="R35" s="503">
        <v>37050</v>
      </c>
      <c r="S35" s="503">
        <v>14950</v>
      </c>
      <c r="T35" s="503">
        <v>8989</v>
      </c>
      <c r="U35" s="503">
        <v>3853</v>
      </c>
      <c r="V35" s="504">
        <f t="shared" si="0"/>
        <v>27792</v>
      </c>
      <c r="W35" s="505">
        <f t="shared" si="19"/>
        <v>63000</v>
      </c>
      <c r="X35" s="512">
        <v>0</v>
      </c>
      <c r="Y35" s="513">
        <f t="shared" si="4"/>
        <v>-5162.7599999999948</v>
      </c>
      <c r="Z35" s="507">
        <v>100000</v>
      </c>
      <c r="AA35" s="508">
        <v>250000</v>
      </c>
    </row>
    <row r="36" spans="1:27" ht="12.2" customHeight="1" x14ac:dyDescent="0.2">
      <c r="A36" s="496">
        <v>3239</v>
      </c>
      <c r="B36" s="509" t="s">
        <v>51</v>
      </c>
      <c r="C36" s="498">
        <v>20471</v>
      </c>
      <c r="D36" s="498">
        <v>19481</v>
      </c>
      <c r="E36" s="498">
        <v>29118.03</v>
      </c>
      <c r="F36" s="498">
        <v>15861.89</v>
      </c>
      <c r="G36" s="498">
        <v>18185.060000000001</v>
      </c>
      <c r="H36" s="499">
        <v>32021</v>
      </c>
      <c r="I36" s="500">
        <v>21742.79</v>
      </c>
      <c r="J36" s="498">
        <v>16773.16</v>
      </c>
      <c r="K36" s="498">
        <v>26154.07</v>
      </c>
      <c r="L36" s="498">
        <v>24508.95</v>
      </c>
      <c r="M36" s="499">
        <v>22905.94</v>
      </c>
      <c r="N36" s="709">
        <v>34713.800000000003</v>
      </c>
      <c r="O36" s="501">
        <v>23032.51</v>
      </c>
      <c r="P36" s="712">
        <v>37000</v>
      </c>
      <c r="Q36" s="502">
        <v>0</v>
      </c>
      <c r="R36" s="503">
        <v>19950</v>
      </c>
      <c r="S36" s="503">
        <v>8050</v>
      </c>
      <c r="T36" s="503">
        <v>3780.0000000000005</v>
      </c>
      <c r="U36" s="503">
        <v>1620</v>
      </c>
      <c r="V36" s="504">
        <f t="shared" si="0"/>
        <v>13450</v>
      </c>
      <c r="W36" s="505">
        <f t="shared" si="19"/>
        <v>37000</v>
      </c>
      <c r="X36" s="512">
        <v>0</v>
      </c>
      <c r="Y36" s="513">
        <f t="shared" si="4"/>
        <v>-1603.010000000002</v>
      </c>
      <c r="Z36" s="507">
        <v>29000</v>
      </c>
      <c r="AA36" s="508">
        <v>29000</v>
      </c>
    </row>
    <row r="37" spans="1:27" ht="12.2" customHeight="1" x14ac:dyDescent="0.2">
      <c r="A37" s="482">
        <v>323</v>
      </c>
      <c r="B37" s="542" t="s">
        <v>52</v>
      </c>
      <c r="C37" s="484">
        <f t="shared" ref="C37:H37" si="20">SUM(C29:C36)</f>
        <v>504524</v>
      </c>
      <c r="D37" s="484">
        <f t="shared" si="20"/>
        <v>294247</v>
      </c>
      <c r="E37" s="484">
        <f t="shared" si="20"/>
        <v>284393.40000000002</v>
      </c>
      <c r="F37" s="484">
        <f t="shared" si="20"/>
        <v>236826.37</v>
      </c>
      <c r="G37" s="484">
        <f t="shared" si="20"/>
        <v>244834.2</v>
      </c>
      <c r="H37" s="485">
        <f t="shared" si="20"/>
        <v>274431.3</v>
      </c>
      <c r="I37" s="486">
        <v>317380.93</v>
      </c>
      <c r="J37" s="484">
        <f>SUM(J29:J36)</f>
        <v>290539.89999999997</v>
      </c>
      <c r="K37" s="484">
        <f t="shared" ref="K37:X37" si="21">SUM(K29:K36)</f>
        <v>334140.26</v>
      </c>
      <c r="L37" s="484">
        <f t="shared" si="21"/>
        <v>339281.14999999997</v>
      </c>
      <c r="M37" s="485">
        <v>253960.59999999998</v>
      </c>
      <c r="N37" s="708">
        <v>305457.56</v>
      </c>
      <c r="O37" s="487">
        <f>SUM(O29:O36)</f>
        <v>393451.64</v>
      </c>
      <c r="P37" s="758">
        <f>SUM(P29:P36)</f>
        <v>405000</v>
      </c>
      <c r="Q37" s="488">
        <v>78969</v>
      </c>
      <c r="R37" s="489">
        <v>141149.66999999998</v>
      </c>
      <c r="S37" s="489">
        <v>56955.13</v>
      </c>
      <c r="T37" s="489">
        <v>23278.34</v>
      </c>
      <c r="U37" s="489">
        <v>9976.86</v>
      </c>
      <c r="V37" s="490">
        <f t="shared" si="0"/>
        <v>90210.33</v>
      </c>
      <c r="W37" s="510">
        <f t="shared" si="21"/>
        <v>326031</v>
      </c>
      <c r="X37" s="510">
        <f t="shared" si="21"/>
        <v>0</v>
      </c>
      <c r="Y37" s="511">
        <f t="shared" si="4"/>
        <v>-85320.549999999988</v>
      </c>
      <c r="Z37" s="494">
        <v>347600</v>
      </c>
      <c r="AA37" s="495">
        <v>535000</v>
      </c>
    </row>
    <row r="38" spans="1:27" ht="12.2" customHeight="1" x14ac:dyDescent="0.2">
      <c r="A38" s="543">
        <v>3291</v>
      </c>
      <c r="B38" s="497" t="s">
        <v>53</v>
      </c>
      <c r="C38" s="498">
        <v>32023</v>
      </c>
      <c r="D38" s="498">
        <v>32023</v>
      </c>
      <c r="E38" s="498">
        <v>27878.43</v>
      </c>
      <c r="F38" s="498">
        <v>22050.38</v>
      </c>
      <c r="G38" s="498">
        <v>21630.18</v>
      </c>
      <c r="H38" s="499">
        <v>21700.2</v>
      </c>
      <c r="I38" s="500">
        <v>38042.300000000003</v>
      </c>
      <c r="J38" s="498">
        <v>33146.04</v>
      </c>
      <c r="K38" s="498">
        <v>33002.04</v>
      </c>
      <c r="L38" s="498">
        <v>33002.04</v>
      </c>
      <c r="M38" s="499">
        <v>16501.02</v>
      </c>
      <c r="N38" s="709">
        <v>0</v>
      </c>
      <c r="O38" s="501">
        <v>0</v>
      </c>
      <c r="P38" s="712">
        <v>0</v>
      </c>
      <c r="Q38" s="502">
        <v>0</v>
      </c>
      <c r="R38" s="503">
        <v>0</v>
      </c>
      <c r="S38" s="503">
        <v>0</v>
      </c>
      <c r="T38" s="503">
        <v>2380</v>
      </c>
      <c r="U38" s="503">
        <v>1020</v>
      </c>
      <c r="V38" s="504">
        <f t="shared" si="0"/>
        <v>3400</v>
      </c>
      <c r="W38" s="505">
        <f>P38-Q38-X38</f>
        <v>0</v>
      </c>
      <c r="X38" s="512">
        <v>0</v>
      </c>
      <c r="Y38" s="513">
        <f t="shared" si="4"/>
        <v>-16501.02</v>
      </c>
      <c r="Z38" s="507">
        <v>0</v>
      </c>
      <c r="AA38" s="508">
        <v>34000</v>
      </c>
    </row>
    <row r="39" spans="1:27" ht="12.2" customHeight="1" x14ac:dyDescent="0.2">
      <c r="A39" s="543">
        <v>3292</v>
      </c>
      <c r="B39" s="497" t="s">
        <v>54</v>
      </c>
      <c r="C39" s="498">
        <v>80766</v>
      </c>
      <c r="D39" s="498">
        <v>99717</v>
      </c>
      <c r="E39" s="498">
        <v>79294.63</v>
      </c>
      <c r="F39" s="498">
        <v>80030.28</v>
      </c>
      <c r="G39" s="498">
        <v>81513.740000000005</v>
      </c>
      <c r="H39" s="499">
        <v>97739.69</v>
      </c>
      <c r="I39" s="500">
        <v>96514.53</v>
      </c>
      <c r="J39" s="498">
        <v>98004.83</v>
      </c>
      <c r="K39" s="498">
        <v>101125</v>
      </c>
      <c r="L39" s="498">
        <v>93823.31</v>
      </c>
      <c r="M39" s="499">
        <v>53763.02</v>
      </c>
      <c r="N39" s="709">
        <v>52123.93</v>
      </c>
      <c r="O39" s="501">
        <v>53680.71</v>
      </c>
      <c r="P39" s="712">
        <v>58000</v>
      </c>
      <c r="Q39" s="502">
        <v>46443</v>
      </c>
      <c r="R39" s="503">
        <v>6587.49</v>
      </c>
      <c r="S39" s="503">
        <v>2658.11</v>
      </c>
      <c r="T39" s="503">
        <v>1056.98</v>
      </c>
      <c r="U39" s="503">
        <v>453.41999999999996</v>
      </c>
      <c r="V39" s="504">
        <f>S39+T39+U39-1</f>
        <v>4167.51</v>
      </c>
      <c r="W39" s="505">
        <f>P39-Q39-X39</f>
        <v>11557</v>
      </c>
      <c r="X39" s="512">
        <v>0</v>
      </c>
      <c r="Y39" s="513">
        <f t="shared" si="4"/>
        <v>-40060.29</v>
      </c>
      <c r="Z39" s="507">
        <v>58000</v>
      </c>
      <c r="AA39" s="508">
        <v>100000</v>
      </c>
    </row>
    <row r="40" spans="1:27" ht="12.2" customHeight="1" x14ac:dyDescent="0.2">
      <c r="A40" s="543">
        <v>3293</v>
      </c>
      <c r="B40" s="497" t="s">
        <v>55</v>
      </c>
      <c r="C40" s="498">
        <v>17873</v>
      </c>
      <c r="D40" s="498">
        <v>18813</v>
      </c>
      <c r="E40" s="498">
        <v>15725.86</v>
      </c>
      <c r="F40" s="498">
        <v>14683.53</v>
      </c>
      <c r="G40" s="498">
        <v>11428.94</v>
      </c>
      <c r="H40" s="499">
        <v>32515.13</v>
      </c>
      <c r="I40" s="500">
        <v>15951.12</v>
      </c>
      <c r="J40" s="498">
        <v>13042.85</v>
      </c>
      <c r="K40" s="498">
        <v>17994.72</v>
      </c>
      <c r="L40" s="498">
        <v>16819.72</v>
      </c>
      <c r="M40" s="499">
        <v>6083.9</v>
      </c>
      <c r="N40" s="709">
        <v>9696.65</v>
      </c>
      <c r="O40" s="501">
        <v>11682.61</v>
      </c>
      <c r="P40" s="712">
        <v>15000</v>
      </c>
      <c r="Q40" s="502">
        <v>0</v>
      </c>
      <c r="R40" s="503">
        <v>6839.9999999999991</v>
      </c>
      <c r="S40" s="503">
        <v>2760</v>
      </c>
      <c r="T40" s="503">
        <v>980.00000000000011</v>
      </c>
      <c r="U40" s="503">
        <v>420</v>
      </c>
      <c r="V40" s="504">
        <f t="shared" si="0"/>
        <v>4160</v>
      </c>
      <c r="W40" s="505">
        <f>P40-Q40-X40</f>
        <v>15000</v>
      </c>
      <c r="X40" s="512">
        <v>0</v>
      </c>
      <c r="Y40" s="513">
        <f t="shared" si="4"/>
        <v>-10735.820000000002</v>
      </c>
      <c r="Z40" s="507">
        <v>12000</v>
      </c>
      <c r="AA40" s="508">
        <v>30000</v>
      </c>
    </row>
    <row r="41" spans="1:27" ht="12.2" customHeight="1" x14ac:dyDescent="0.2">
      <c r="A41" s="543">
        <v>3299</v>
      </c>
      <c r="B41" s="497" t="s">
        <v>56</v>
      </c>
      <c r="C41" s="498">
        <v>8845</v>
      </c>
      <c r="D41" s="498">
        <v>5897</v>
      </c>
      <c r="E41" s="498">
        <v>22414.87</v>
      </c>
      <c r="F41" s="498">
        <v>6322.78</v>
      </c>
      <c r="G41" s="498">
        <v>4245.3</v>
      </c>
      <c r="H41" s="499">
        <v>5190.5</v>
      </c>
      <c r="I41" s="500">
        <v>1672.5</v>
      </c>
      <c r="J41" s="498">
        <v>4892.5</v>
      </c>
      <c r="K41" s="498">
        <v>3077</v>
      </c>
      <c r="L41" s="498">
        <v>3615</v>
      </c>
      <c r="M41" s="499">
        <v>3070</v>
      </c>
      <c r="N41" s="709">
        <v>3261.34</v>
      </c>
      <c r="O41" s="501">
        <v>3972.3</v>
      </c>
      <c r="P41" s="712">
        <v>6000</v>
      </c>
      <c r="Q41" s="502">
        <v>0</v>
      </c>
      <c r="R41" s="503">
        <v>2280</v>
      </c>
      <c r="S41" s="503">
        <v>920</v>
      </c>
      <c r="T41" s="503">
        <v>700.00000000000011</v>
      </c>
      <c r="U41" s="503">
        <v>300</v>
      </c>
      <c r="V41" s="504">
        <f t="shared" si="0"/>
        <v>1920</v>
      </c>
      <c r="W41" s="505">
        <f>P41-Q41-X41</f>
        <v>6000</v>
      </c>
      <c r="X41" s="512">
        <v>0</v>
      </c>
      <c r="Y41" s="513">
        <f t="shared" si="4"/>
        <v>-545</v>
      </c>
      <c r="Z41" s="507">
        <v>4000</v>
      </c>
      <c r="AA41" s="508">
        <v>4000</v>
      </c>
    </row>
    <row r="42" spans="1:27" ht="22.5" customHeight="1" thickBot="1" x14ac:dyDescent="0.25">
      <c r="A42" s="544">
        <v>329</v>
      </c>
      <c r="B42" s="515" t="s">
        <v>57</v>
      </c>
      <c r="C42" s="516">
        <f t="shared" ref="C42:H42" si="22">SUM(C38:C41)</f>
        <v>139507</v>
      </c>
      <c r="D42" s="516">
        <f t="shared" si="22"/>
        <v>156450</v>
      </c>
      <c r="E42" s="516">
        <f t="shared" si="22"/>
        <v>145313.79</v>
      </c>
      <c r="F42" s="516">
        <f t="shared" si="22"/>
        <v>123086.97</v>
      </c>
      <c r="G42" s="516">
        <f t="shared" si="22"/>
        <v>118818.16000000002</v>
      </c>
      <c r="H42" s="517">
        <f t="shared" si="22"/>
        <v>157145.51999999999</v>
      </c>
      <c r="I42" s="518">
        <v>152180.45000000001</v>
      </c>
      <c r="J42" s="516">
        <f>SUM(J38:J41)</f>
        <v>149086.22</v>
      </c>
      <c r="K42" s="516">
        <f t="shared" ref="K42:W42" si="23">SUM(K38:K41)</f>
        <v>155198.76</v>
      </c>
      <c r="L42" s="516">
        <f t="shared" si="23"/>
        <v>147260.07</v>
      </c>
      <c r="M42" s="517">
        <v>79417.939999999988</v>
      </c>
      <c r="N42" s="710">
        <v>65081.919999999998</v>
      </c>
      <c r="O42" s="519">
        <f>SUM(O38:O41)</f>
        <v>69335.62</v>
      </c>
      <c r="P42" s="759">
        <f>SUM(P38:P41)</f>
        <v>79000</v>
      </c>
      <c r="Q42" s="520">
        <v>46443</v>
      </c>
      <c r="R42" s="545">
        <v>15707.489999999998</v>
      </c>
      <c r="S42" s="521">
        <v>6338.1100000000006</v>
      </c>
      <c r="T42" s="521">
        <v>5116.9800000000005</v>
      </c>
      <c r="U42" s="521">
        <v>2193.42</v>
      </c>
      <c r="V42" s="522">
        <f t="shared" si="0"/>
        <v>13648.51</v>
      </c>
      <c r="W42" s="523">
        <f t="shared" si="23"/>
        <v>32557</v>
      </c>
      <c r="X42" s="524">
        <v>0</v>
      </c>
      <c r="Y42" s="525">
        <f t="shared" si="4"/>
        <v>-67842.130000000019</v>
      </c>
      <c r="Z42" s="526">
        <v>74000</v>
      </c>
      <c r="AA42" s="546">
        <f>AA38+AA39+AA40+AA41</f>
        <v>168000</v>
      </c>
    </row>
    <row r="43" spans="1:27" ht="12.2" customHeight="1" thickBot="1" x14ac:dyDescent="0.25">
      <c r="A43" s="547">
        <v>32</v>
      </c>
      <c r="B43" s="548" t="s">
        <v>58</v>
      </c>
      <c r="C43" s="531">
        <f t="shared" ref="C43:H43" si="24">C22+C28+C37+C42</f>
        <v>1500415</v>
      </c>
      <c r="D43" s="531">
        <f t="shared" si="24"/>
        <v>1241978</v>
      </c>
      <c r="E43" s="531">
        <f t="shared" si="24"/>
        <v>1186690.01</v>
      </c>
      <c r="F43" s="531">
        <f t="shared" si="24"/>
        <v>968955.51</v>
      </c>
      <c r="G43" s="531">
        <f t="shared" si="24"/>
        <v>959681.15</v>
      </c>
      <c r="H43" s="532">
        <f t="shared" si="24"/>
        <v>938327.46</v>
      </c>
      <c r="I43" s="549">
        <v>931020.07000000007</v>
      </c>
      <c r="J43" s="550">
        <f>J22+J28+J37+J42</f>
        <v>1119952.0900000001</v>
      </c>
      <c r="K43" s="531">
        <f>K22+K28+K37+K42</f>
        <v>1252343.7999999998</v>
      </c>
      <c r="L43" s="531">
        <f>L22+L28+L37+L42</f>
        <v>1190613.47</v>
      </c>
      <c r="M43" s="532">
        <v>735576.40999999992</v>
      </c>
      <c r="N43" s="722">
        <v>888380.46000000008</v>
      </c>
      <c r="O43" s="533">
        <f>O22+O28+O37+O42</f>
        <v>1269516.69</v>
      </c>
      <c r="P43" s="760">
        <f>P22+P28+P37+P42</f>
        <v>1358000</v>
      </c>
      <c r="Q43" s="534">
        <v>423371</v>
      </c>
      <c r="R43" s="535">
        <v>297555.52999999997</v>
      </c>
      <c r="S43" s="551">
        <v>120066.67</v>
      </c>
      <c r="T43" s="551">
        <v>47049.060000000005</v>
      </c>
      <c r="U43" s="551">
        <v>20164.739999999998</v>
      </c>
      <c r="V43" s="552">
        <f t="shared" si="0"/>
        <v>187280.47</v>
      </c>
      <c r="W43" s="537">
        <f t="shared" ref="W43:X43" si="25">W22+W28+W37+W42</f>
        <v>932629</v>
      </c>
      <c r="X43" s="538">
        <f t="shared" si="25"/>
        <v>2000</v>
      </c>
      <c r="Y43" s="539">
        <f t="shared" si="4"/>
        <v>-455037.06000000006</v>
      </c>
      <c r="Z43" s="553">
        <v>940600</v>
      </c>
      <c r="AA43" s="553">
        <f>AA22+AA28+AA37+AA42</f>
        <v>1411000</v>
      </c>
    </row>
    <row r="44" spans="1:27" ht="12.2" hidden="1" customHeight="1" x14ac:dyDescent="0.2">
      <c r="A44" s="554">
        <v>3431</v>
      </c>
      <c r="B44" s="471" t="s">
        <v>59</v>
      </c>
      <c r="C44" s="472">
        <v>2631.9</v>
      </c>
      <c r="D44" s="472">
        <v>2631.9</v>
      </c>
      <c r="E44" s="472">
        <v>2631.9</v>
      </c>
      <c r="F44" s="472">
        <v>2631.9</v>
      </c>
      <c r="G44" s="472">
        <v>2631.9</v>
      </c>
      <c r="H44" s="473">
        <v>2316.81</v>
      </c>
      <c r="I44" s="474">
        <v>172.9</v>
      </c>
      <c r="J44" s="472">
        <v>0</v>
      </c>
      <c r="K44" s="498">
        <v>0</v>
      </c>
      <c r="L44" s="498"/>
      <c r="M44" s="555">
        <v>0</v>
      </c>
      <c r="N44" s="721">
        <v>0</v>
      </c>
      <c r="O44" s="556"/>
      <c r="P44" s="714">
        <v>0</v>
      </c>
      <c r="Q44" s="557">
        <v>0</v>
      </c>
      <c r="R44" s="558">
        <v>0</v>
      </c>
      <c r="S44" s="477">
        <v>0</v>
      </c>
      <c r="T44" s="477">
        <v>0</v>
      </c>
      <c r="U44" s="477">
        <v>0</v>
      </c>
      <c r="V44" s="478">
        <f t="shared" si="0"/>
        <v>0</v>
      </c>
      <c r="W44" s="479">
        <f>K44-Q44-X44</f>
        <v>0</v>
      </c>
      <c r="X44" s="540">
        <v>0</v>
      </c>
      <c r="Y44" s="541">
        <f t="shared" si="4"/>
        <v>0</v>
      </c>
      <c r="Z44" s="507">
        <v>0</v>
      </c>
      <c r="AA44" s="508">
        <v>0</v>
      </c>
    </row>
    <row r="45" spans="1:27" ht="12.2" customHeight="1" thickBot="1" x14ac:dyDescent="0.25">
      <c r="A45" s="559">
        <v>343</v>
      </c>
      <c r="B45" s="560" t="s">
        <v>60</v>
      </c>
      <c r="C45" s="498">
        <v>3357</v>
      </c>
      <c r="D45" s="498">
        <v>2833</v>
      </c>
      <c r="E45" s="498">
        <v>2629.85</v>
      </c>
      <c r="F45" s="498">
        <v>2777.79</v>
      </c>
      <c r="G45" s="498">
        <f>G44</f>
        <v>2631.9</v>
      </c>
      <c r="H45" s="498">
        <f>SUM(H44)</f>
        <v>2316.81</v>
      </c>
      <c r="I45" s="500">
        <v>172.9</v>
      </c>
      <c r="J45" s="498">
        <v>0</v>
      </c>
      <c r="K45" s="498">
        <f t="shared" ref="K45:W46" si="26">K44</f>
        <v>0</v>
      </c>
      <c r="L45" s="498">
        <v>0</v>
      </c>
      <c r="M45" s="473">
        <v>0</v>
      </c>
      <c r="N45" s="709">
        <v>0</v>
      </c>
      <c r="O45" s="723">
        <v>0</v>
      </c>
      <c r="P45" s="715">
        <v>0</v>
      </c>
      <c r="Q45" s="742">
        <v>0</v>
      </c>
      <c r="R45" s="561">
        <v>0</v>
      </c>
      <c r="S45" s="503">
        <v>0</v>
      </c>
      <c r="T45" s="503">
        <v>0</v>
      </c>
      <c r="U45" s="503">
        <v>0</v>
      </c>
      <c r="V45" s="562">
        <f t="shared" si="0"/>
        <v>0</v>
      </c>
      <c r="W45" s="505">
        <f t="shared" si="26"/>
        <v>0</v>
      </c>
      <c r="X45" s="512">
        <v>0</v>
      </c>
      <c r="Y45" s="513">
        <f t="shared" si="4"/>
        <v>0</v>
      </c>
      <c r="Z45" s="507">
        <v>0</v>
      </c>
      <c r="AA45" s="508">
        <v>0</v>
      </c>
    </row>
    <row r="46" spans="1:27" ht="12.2" customHeight="1" thickBot="1" x14ac:dyDescent="0.25">
      <c r="A46" s="547">
        <v>34</v>
      </c>
      <c r="B46" s="548" t="s">
        <v>61</v>
      </c>
      <c r="C46" s="563">
        <f>C45</f>
        <v>3357</v>
      </c>
      <c r="D46" s="563">
        <f>D45</f>
        <v>2833</v>
      </c>
      <c r="E46" s="563">
        <f>E45</f>
        <v>2629.85</v>
      </c>
      <c r="F46" s="563">
        <f>F45</f>
        <v>2777.79</v>
      </c>
      <c r="G46" s="563">
        <f>G45</f>
        <v>2631.9</v>
      </c>
      <c r="H46" s="563">
        <f>H45</f>
        <v>2316.81</v>
      </c>
      <c r="I46" s="564">
        <v>172.9</v>
      </c>
      <c r="J46" s="565">
        <v>0</v>
      </c>
      <c r="K46" s="566">
        <f t="shared" si="26"/>
        <v>0</v>
      </c>
      <c r="L46" s="566">
        <v>0</v>
      </c>
      <c r="M46" s="567">
        <v>0</v>
      </c>
      <c r="N46" s="724">
        <v>0</v>
      </c>
      <c r="O46" s="568">
        <v>0</v>
      </c>
      <c r="P46" s="716">
        <v>0</v>
      </c>
      <c r="Q46" s="746">
        <v>0</v>
      </c>
      <c r="R46" s="569">
        <v>0</v>
      </c>
      <c r="S46" s="570">
        <v>0</v>
      </c>
      <c r="T46" s="570">
        <v>0</v>
      </c>
      <c r="U46" s="570">
        <v>0</v>
      </c>
      <c r="V46" s="571">
        <f t="shared" si="0"/>
        <v>0</v>
      </c>
      <c r="W46" s="572">
        <f t="shared" si="26"/>
        <v>0</v>
      </c>
      <c r="X46" s="573">
        <v>0</v>
      </c>
      <c r="Y46" s="574">
        <f t="shared" si="4"/>
        <v>0</v>
      </c>
      <c r="Z46" s="575">
        <v>0</v>
      </c>
      <c r="AA46" s="576">
        <v>0</v>
      </c>
    </row>
    <row r="47" spans="1:27" ht="12.2" customHeight="1" thickBot="1" x14ac:dyDescent="0.25">
      <c r="A47" s="577">
        <v>3</v>
      </c>
      <c r="B47" s="578" t="s">
        <v>62</v>
      </c>
      <c r="C47" s="579">
        <f t="shared" ref="C47:H47" si="27">C18+C43+C46</f>
        <v>8141666</v>
      </c>
      <c r="D47" s="579">
        <f t="shared" si="27"/>
        <v>7594934</v>
      </c>
      <c r="E47" s="579">
        <f t="shared" si="27"/>
        <v>7500693.6499999994</v>
      </c>
      <c r="F47" s="579">
        <f t="shared" si="27"/>
        <v>7041680.3600000003</v>
      </c>
      <c r="G47" s="579">
        <f t="shared" si="27"/>
        <v>7127977.8600000013</v>
      </c>
      <c r="H47" s="580">
        <f t="shared" si="27"/>
        <v>7222942.5800000001</v>
      </c>
      <c r="I47" s="581">
        <v>7508653.1500000013</v>
      </c>
      <c r="J47" s="582">
        <f>J18+J43+J46</f>
        <v>7764854.6300000008</v>
      </c>
      <c r="K47" s="579">
        <f t="shared" ref="K47:X47" si="28">K18+K43+K46</f>
        <v>7825673.6200000001</v>
      </c>
      <c r="L47" s="579">
        <f t="shared" si="28"/>
        <v>7914861.7800000003</v>
      </c>
      <c r="M47" s="583">
        <v>7203399.71</v>
      </c>
      <c r="N47" s="725">
        <v>7322488.7199999997</v>
      </c>
      <c r="O47" s="726">
        <f t="shared" si="28"/>
        <v>8056199.0999999996</v>
      </c>
      <c r="P47" s="717">
        <f t="shared" si="28"/>
        <v>8473000</v>
      </c>
      <c r="Q47" s="747">
        <v>4212501</v>
      </c>
      <c r="R47" s="584">
        <v>2031536.43</v>
      </c>
      <c r="S47" s="585">
        <v>819742.77</v>
      </c>
      <c r="T47" s="585">
        <v>445748.86000000004</v>
      </c>
      <c r="U47" s="585">
        <v>191034.93999999997</v>
      </c>
      <c r="V47" s="586">
        <f>S47+T47+U47-2</f>
        <v>1456524.57</v>
      </c>
      <c r="W47" s="587">
        <f t="shared" si="28"/>
        <v>4258499</v>
      </c>
      <c r="X47" s="588">
        <f t="shared" si="28"/>
        <v>2000</v>
      </c>
      <c r="Y47" s="589">
        <f t="shared" si="4"/>
        <v>-711462.0700000003</v>
      </c>
      <c r="Z47" s="590">
        <f>Z18+Z43+Z46</f>
        <v>7778600</v>
      </c>
      <c r="AA47" s="591">
        <f>AA18+AA43</f>
        <v>8446000</v>
      </c>
    </row>
    <row r="48" spans="1:27" ht="12.2" customHeight="1" x14ac:dyDescent="0.2">
      <c r="A48" s="737">
        <v>4221</v>
      </c>
      <c r="B48" s="738" t="s">
        <v>63</v>
      </c>
      <c r="C48" s="739">
        <v>0</v>
      </c>
      <c r="D48" s="739">
        <v>0</v>
      </c>
      <c r="E48" s="739">
        <v>0</v>
      </c>
      <c r="F48" s="739">
        <v>0</v>
      </c>
      <c r="G48" s="739">
        <v>0</v>
      </c>
      <c r="H48" s="740">
        <v>0</v>
      </c>
      <c r="I48" s="741">
        <v>0</v>
      </c>
      <c r="J48" s="635">
        <v>5706.65</v>
      </c>
      <c r="K48" s="739">
        <v>9999.75</v>
      </c>
      <c r="L48" s="739">
        <v>2799.96</v>
      </c>
      <c r="M48" s="740">
        <v>9857.25</v>
      </c>
      <c r="N48" s="707">
        <v>31456.84</v>
      </c>
      <c r="O48" s="475">
        <v>15580.86</v>
      </c>
      <c r="P48" s="718">
        <v>8000</v>
      </c>
      <c r="Q48" s="742">
        <v>0</v>
      </c>
      <c r="R48" s="561">
        <v>18810</v>
      </c>
      <c r="S48" s="561">
        <v>7590</v>
      </c>
      <c r="T48" s="561">
        <v>1540.0000000000002</v>
      </c>
      <c r="U48" s="561">
        <v>660</v>
      </c>
      <c r="V48" s="743">
        <f t="shared" si="0"/>
        <v>9790</v>
      </c>
      <c r="W48" s="744">
        <f>P48-Q48-X48</f>
        <v>8000</v>
      </c>
      <c r="X48" s="753">
        <v>0</v>
      </c>
      <c r="Y48" s="745">
        <f t="shared" si="4"/>
        <v>7057.29</v>
      </c>
      <c r="Z48" s="593">
        <v>32000</v>
      </c>
      <c r="AA48" s="594">
        <v>10000</v>
      </c>
    </row>
    <row r="49" spans="1:31" ht="12.2" customHeight="1" x14ac:dyDescent="0.2">
      <c r="A49" s="496">
        <v>4222</v>
      </c>
      <c r="B49" s="497" t="s">
        <v>64</v>
      </c>
      <c r="C49" s="498">
        <v>0</v>
      </c>
      <c r="D49" s="498">
        <v>0</v>
      </c>
      <c r="E49" s="498">
        <v>0</v>
      </c>
      <c r="F49" s="498">
        <v>0</v>
      </c>
      <c r="G49" s="498">
        <v>0</v>
      </c>
      <c r="H49" s="499">
        <v>0</v>
      </c>
      <c r="I49" s="500">
        <v>0</v>
      </c>
      <c r="J49" s="603">
        <v>0</v>
      </c>
      <c r="K49" s="498">
        <v>0</v>
      </c>
      <c r="L49" s="498">
        <v>0</v>
      </c>
      <c r="M49" s="499">
        <v>0</v>
      </c>
      <c r="N49" s="709">
        <v>15982</v>
      </c>
      <c r="O49" s="501">
        <v>16092.5</v>
      </c>
      <c r="P49" s="713">
        <v>16125</v>
      </c>
      <c r="Q49" s="502">
        <v>0</v>
      </c>
      <c r="R49" s="503"/>
      <c r="S49" s="503"/>
      <c r="T49" s="503"/>
      <c r="U49" s="503"/>
      <c r="V49" s="504"/>
      <c r="W49" s="505"/>
      <c r="X49" s="512">
        <v>4125</v>
      </c>
      <c r="Y49" s="506">
        <f t="shared" si="4"/>
        <v>0</v>
      </c>
      <c r="Z49" s="593"/>
      <c r="AA49" s="594"/>
    </row>
    <row r="50" spans="1:31" ht="12.2" customHeight="1" x14ac:dyDescent="0.2">
      <c r="A50" s="543">
        <v>4223</v>
      </c>
      <c r="B50" s="497" t="s">
        <v>190</v>
      </c>
      <c r="C50" s="498">
        <v>503805</v>
      </c>
      <c r="D50" s="498">
        <v>71443</v>
      </c>
      <c r="E50" s="498">
        <v>2627.88</v>
      </c>
      <c r="F50" s="498">
        <v>19945</v>
      </c>
      <c r="G50" s="498">
        <v>62609.7</v>
      </c>
      <c r="H50" s="499">
        <v>218863.88</v>
      </c>
      <c r="I50" s="500">
        <v>69138.5</v>
      </c>
      <c r="J50" s="498">
        <v>159686.92000000001</v>
      </c>
      <c r="K50" s="498">
        <v>86140</v>
      </c>
      <c r="L50" s="498">
        <v>109229.58</v>
      </c>
      <c r="M50" s="499">
        <v>26486.3</v>
      </c>
      <c r="N50" s="709">
        <v>76149.66</v>
      </c>
      <c r="O50" s="723">
        <v>150254.57</v>
      </c>
      <c r="P50" s="711">
        <v>149000</v>
      </c>
      <c r="Q50" s="502">
        <v>0</v>
      </c>
      <c r="R50" s="503">
        <v>10715.999999999998</v>
      </c>
      <c r="S50" s="503">
        <v>4324</v>
      </c>
      <c r="T50" s="503">
        <v>2380</v>
      </c>
      <c r="U50" s="503">
        <v>1020</v>
      </c>
      <c r="V50" s="504">
        <f>S50+T50+U50</f>
        <v>7724</v>
      </c>
      <c r="W50" s="505">
        <v>72200</v>
      </c>
      <c r="X50" s="512">
        <v>0</v>
      </c>
      <c r="Y50" s="513">
        <f t="shared" si="4"/>
        <v>-82743.28</v>
      </c>
      <c r="Z50" s="507">
        <v>106000</v>
      </c>
      <c r="AA50" s="508">
        <v>150000</v>
      </c>
    </row>
    <row r="51" spans="1:31" ht="12.2" customHeight="1" x14ac:dyDescent="0.2">
      <c r="A51" s="543">
        <v>4262</v>
      </c>
      <c r="B51" s="497" t="s">
        <v>66</v>
      </c>
      <c r="C51" s="498">
        <v>0</v>
      </c>
      <c r="D51" s="498">
        <v>0</v>
      </c>
      <c r="E51" s="498">
        <v>0</v>
      </c>
      <c r="F51" s="498">
        <v>0</v>
      </c>
      <c r="G51" s="498">
        <v>0</v>
      </c>
      <c r="H51" s="499">
        <v>0</v>
      </c>
      <c r="I51" s="500">
        <v>0</v>
      </c>
      <c r="J51" s="498">
        <v>0</v>
      </c>
      <c r="K51" s="498">
        <v>0</v>
      </c>
      <c r="L51" s="498">
        <v>2085</v>
      </c>
      <c r="M51" s="499">
        <v>3948</v>
      </c>
      <c r="N51" s="709">
        <v>12500</v>
      </c>
      <c r="O51" s="501">
        <v>21375</v>
      </c>
      <c r="P51" s="712">
        <v>20000</v>
      </c>
      <c r="Q51" s="502">
        <v>0</v>
      </c>
      <c r="R51" s="503">
        <v>40014</v>
      </c>
      <c r="S51" s="503">
        <v>16146</v>
      </c>
      <c r="T51" s="503">
        <v>280</v>
      </c>
      <c r="U51" s="503">
        <v>120</v>
      </c>
      <c r="V51" s="504">
        <f>S51+T51+U51</f>
        <v>16546</v>
      </c>
      <c r="W51" s="505">
        <v>0</v>
      </c>
      <c r="X51" s="512">
        <v>0</v>
      </c>
      <c r="Y51" s="513">
        <f t="shared" si="4"/>
        <v>1863</v>
      </c>
      <c r="Z51" s="507">
        <v>12500</v>
      </c>
      <c r="AA51" s="508">
        <v>0</v>
      </c>
    </row>
    <row r="52" spans="1:31" ht="22.5" x14ac:dyDescent="0.2">
      <c r="A52" s="496">
        <v>4263</v>
      </c>
      <c r="B52" s="497" t="s">
        <v>67</v>
      </c>
      <c r="C52" s="498">
        <v>0</v>
      </c>
      <c r="D52" s="498">
        <v>0</v>
      </c>
      <c r="E52" s="498">
        <v>0</v>
      </c>
      <c r="F52" s="498">
        <v>0</v>
      </c>
      <c r="G52" s="498">
        <v>0</v>
      </c>
      <c r="H52" s="499">
        <v>709151.99</v>
      </c>
      <c r="I52" s="500">
        <v>125640.96000000001</v>
      </c>
      <c r="J52" s="498">
        <v>105000</v>
      </c>
      <c r="K52" s="498">
        <v>0</v>
      </c>
      <c r="L52" s="498">
        <v>24375</v>
      </c>
      <c r="M52" s="499">
        <v>430799.76</v>
      </c>
      <c r="N52" s="709">
        <v>7938.4</v>
      </c>
      <c r="O52" s="501">
        <v>0</v>
      </c>
      <c r="P52" s="712">
        <v>0</v>
      </c>
      <c r="Q52" s="502">
        <v>0</v>
      </c>
      <c r="R52" s="503">
        <v>7124.9999999999991</v>
      </c>
      <c r="S52" s="503">
        <v>2875</v>
      </c>
      <c r="T52" s="503">
        <v>61712.000000000007</v>
      </c>
      <c r="U52" s="503">
        <v>26448</v>
      </c>
      <c r="V52" s="504">
        <f t="shared" si="0"/>
        <v>91035</v>
      </c>
      <c r="W52" s="505">
        <f>P52-Q52-X52</f>
        <v>0</v>
      </c>
      <c r="X52" s="512">
        <v>0</v>
      </c>
      <c r="Y52" s="513">
        <f t="shared" si="4"/>
        <v>406424.76</v>
      </c>
      <c r="Z52" s="507">
        <v>0</v>
      </c>
      <c r="AA52" s="508">
        <v>0</v>
      </c>
    </row>
    <row r="53" spans="1:31" x14ac:dyDescent="0.2">
      <c r="A53" s="496">
        <v>3821</v>
      </c>
      <c r="B53" s="595" t="s">
        <v>176</v>
      </c>
      <c r="C53" s="498">
        <v>0</v>
      </c>
      <c r="D53" s="498">
        <v>0</v>
      </c>
      <c r="E53" s="498">
        <v>0</v>
      </c>
      <c r="F53" s="498">
        <v>0</v>
      </c>
      <c r="G53" s="498">
        <v>0</v>
      </c>
      <c r="H53" s="499">
        <v>0</v>
      </c>
      <c r="I53" s="500">
        <v>0</v>
      </c>
      <c r="J53" s="498">
        <v>0</v>
      </c>
      <c r="K53" s="596">
        <v>0</v>
      </c>
      <c r="L53" s="596">
        <v>0</v>
      </c>
      <c r="M53" s="597">
        <v>8500</v>
      </c>
      <c r="N53" s="709">
        <v>0</v>
      </c>
      <c r="O53" s="727">
        <v>0</v>
      </c>
      <c r="P53" s="719">
        <v>0</v>
      </c>
      <c r="Q53" s="598">
        <v>0</v>
      </c>
      <c r="R53" s="503">
        <v>4560</v>
      </c>
      <c r="S53" s="599">
        <v>1840</v>
      </c>
      <c r="T53" s="599">
        <v>0</v>
      </c>
      <c r="U53" s="599">
        <v>0</v>
      </c>
      <c r="V53" s="600">
        <v>0</v>
      </c>
      <c r="W53" s="601">
        <v>0</v>
      </c>
      <c r="X53" s="602">
        <v>0</v>
      </c>
      <c r="Y53" s="513">
        <f t="shared" si="4"/>
        <v>8500</v>
      </c>
      <c r="Z53" s="507">
        <v>0</v>
      </c>
      <c r="AA53" s="508">
        <v>0</v>
      </c>
    </row>
    <row r="54" spans="1:31" x14ac:dyDescent="0.2">
      <c r="A54" s="496">
        <v>4231</v>
      </c>
      <c r="B54" s="595" t="s">
        <v>69</v>
      </c>
      <c r="C54" s="498">
        <v>0</v>
      </c>
      <c r="D54" s="498">
        <v>0</v>
      </c>
      <c r="E54" s="498">
        <v>0</v>
      </c>
      <c r="F54" s="498">
        <v>0</v>
      </c>
      <c r="G54" s="498">
        <v>0</v>
      </c>
      <c r="H54" s="499">
        <v>0</v>
      </c>
      <c r="I54" s="500">
        <v>0</v>
      </c>
      <c r="J54" s="603">
        <v>0</v>
      </c>
      <c r="K54" s="596">
        <v>1160763.75</v>
      </c>
      <c r="L54" s="596">
        <v>0</v>
      </c>
      <c r="M54" s="597">
        <v>0</v>
      </c>
      <c r="N54" s="709">
        <v>0</v>
      </c>
      <c r="O54" s="727">
        <v>0</v>
      </c>
      <c r="P54" s="719">
        <v>0</v>
      </c>
      <c r="Q54" s="598">
        <v>0</v>
      </c>
      <c r="R54" s="503">
        <v>0</v>
      </c>
      <c r="S54" s="599">
        <v>0</v>
      </c>
      <c r="T54" s="599">
        <v>0</v>
      </c>
      <c r="U54" s="599">
        <v>0</v>
      </c>
      <c r="V54" s="600">
        <v>0</v>
      </c>
      <c r="W54" s="601">
        <v>0</v>
      </c>
      <c r="X54" s="602">
        <v>0</v>
      </c>
      <c r="Y54" s="513">
        <f t="shared" si="4"/>
        <v>0</v>
      </c>
      <c r="Z54" s="507">
        <v>0</v>
      </c>
      <c r="AA54" s="508">
        <v>0</v>
      </c>
    </row>
    <row r="55" spans="1:31" x14ac:dyDescent="0.2">
      <c r="A55" s="496">
        <v>4531</v>
      </c>
      <c r="B55" s="595" t="s">
        <v>188</v>
      </c>
      <c r="C55" s="498">
        <v>0</v>
      </c>
      <c r="D55" s="498">
        <v>0</v>
      </c>
      <c r="E55" s="498">
        <v>0</v>
      </c>
      <c r="F55" s="498">
        <v>0</v>
      </c>
      <c r="G55" s="498">
        <v>0</v>
      </c>
      <c r="H55" s="499">
        <v>0</v>
      </c>
      <c r="I55" s="500">
        <v>0</v>
      </c>
      <c r="J55" s="603">
        <v>0</v>
      </c>
      <c r="K55" s="596">
        <v>0</v>
      </c>
      <c r="L55" s="596">
        <v>0</v>
      </c>
      <c r="M55" s="597">
        <v>0</v>
      </c>
      <c r="N55" s="709">
        <v>0</v>
      </c>
      <c r="O55" s="727">
        <v>0</v>
      </c>
      <c r="P55" s="719">
        <v>20000</v>
      </c>
      <c r="Q55" s="598">
        <v>0</v>
      </c>
      <c r="R55" s="503"/>
      <c r="S55" s="599"/>
      <c r="T55" s="599"/>
      <c r="U55" s="599"/>
      <c r="V55" s="600"/>
      <c r="W55" s="601"/>
      <c r="X55" s="602"/>
      <c r="Y55" s="513">
        <f t="shared" si="4"/>
        <v>0</v>
      </c>
      <c r="Z55" s="507"/>
      <c r="AA55" s="508"/>
    </row>
    <row r="56" spans="1:31" x14ac:dyDescent="0.2">
      <c r="A56" s="496">
        <v>5445</v>
      </c>
      <c r="B56" s="595" t="s">
        <v>177</v>
      </c>
      <c r="C56" s="498">
        <v>0</v>
      </c>
      <c r="D56" s="498">
        <v>0</v>
      </c>
      <c r="E56" s="498">
        <v>0</v>
      </c>
      <c r="F56" s="498">
        <v>0</v>
      </c>
      <c r="G56" s="498">
        <v>0</v>
      </c>
      <c r="H56" s="499">
        <v>0</v>
      </c>
      <c r="I56" s="500">
        <v>0</v>
      </c>
      <c r="J56" s="498">
        <v>0</v>
      </c>
      <c r="K56" s="596">
        <v>232152.75</v>
      </c>
      <c r="L56" s="596">
        <v>165739.46</v>
      </c>
      <c r="M56" s="597">
        <v>175088.37</v>
      </c>
      <c r="N56" s="709">
        <v>184964.76</v>
      </c>
      <c r="O56" s="727">
        <v>195398.21</v>
      </c>
      <c r="P56" s="719">
        <v>196000</v>
      </c>
      <c r="Q56" s="598">
        <v>0</v>
      </c>
      <c r="R56" s="503">
        <v>0</v>
      </c>
      <c r="S56" s="599">
        <v>0</v>
      </c>
      <c r="T56" s="599">
        <v>24872</v>
      </c>
      <c r="U56" s="599">
        <v>10659</v>
      </c>
      <c r="V56" s="600">
        <v>71300</v>
      </c>
      <c r="W56" s="601">
        <v>165800</v>
      </c>
      <c r="X56" s="602">
        <v>0</v>
      </c>
      <c r="Y56" s="513">
        <f t="shared" si="4"/>
        <v>9348.9100000000035</v>
      </c>
      <c r="Z56" s="507">
        <v>185000</v>
      </c>
      <c r="AA56" s="508">
        <v>196000</v>
      </c>
    </row>
    <row r="57" spans="1:31" x14ac:dyDescent="0.2">
      <c r="A57" s="496">
        <v>3423</v>
      </c>
      <c r="B57" s="595" t="s">
        <v>178</v>
      </c>
      <c r="C57" s="498">
        <v>0</v>
      </c>
      <c r="D57" s="498">
        <v>0</v>
      </c>
      <c r="E57" s="498">
        <v>0</v>
      </c>
      <c r="F57" s="498">
        <v>0</v>
      </c>
      <c r="G57" s="498">
        <v>0</v>
      </c>
      <c r="H57" s="499">
        <v>0</v>
      </c>
      <c r="I57" s="500">
        <v>0</v>
      </c>
      <c r="J57" s="498">
        <v>0</v>
      </c>
      <c r="K57" s="596">
        <v>0</v>
      </c>
      <c r="L57" s="596">
        <v>46936.9</v>
      </c>
      <c r="M57" s="597">
        <v>37587.99</v>
      </c>
      <c r="N57" s="709">
        <v>27711.599999999999</v>
      </c>
      <c r="O57" s="727">
        <v>17278.150000000001</v>
      </c>
      <c r="P57" s="719">
        <v>19000</v>
      </c>
      <c r="Q57" s="598">
        <v>0</v>
      </c>
      <c r="R57" s="503">
        <v>105450</v>
      </c>
      <c r="S57" s="599">
        <v>42550</v>
      </c>
      <c r="T57" s="599">
        <v>5319</v>
      </c>
      <c r="U57" s="599">
        <v>2279</v>
      </c>
      <c r="V57" s="600">
        <v>21151</v>
      </c>
      <c r="W57" s="601">
        <v>49200</v>
      </c>
      <c r="X57" s="602">
        <v>0</v>
      </c>
      <c r="Y57" s="604">
        <f t="shared" si="4"/>
        <v>-9348.9100000000035</v>
      </c>
      <c r="Z57" s="507">
        <v>30000</v>
      </c>
      <c r="AA57" s="508">
        <v>19000</v>
      </c>
    </row>
    <row r="58" spans="1:31" ht="22.5" x14ac:dyDescent="0.2">
      <c r="A58" s="496">
        <v>3299</v>
      </c>
      <c r="B58" s="595" t="s">
        <v>57</v>
      </c>
      <c r="C58" s="498">
        <v>0</v>
      </c>
      <c r="D58" s="498">
        <v>0</v>
      </c>
      <c r="E58" s="498">
        <v>0</v>
      </c>
      <c r="F58" s="498">
        <v>0</v>
      </c>
      <c r="G58" s="498">
        <v>0</v>
      </c>
      <c r="H58" s="499">
        <v>0</v>
      </c>
      <c r="I58" s="500">
        <v>0</v>
      </c>
      <c r="J58" s="603">
        <v>0</v>
      </c>
      <c r="K58" s="596">
        <v>8705.73</v>
      </c>
      <c r="L58" s="596">
        <v>0</v>
      </c>
      <c r="M58" s="597">
        <v>0</v>
      </c>
      <c r="N58" s="709">
        <v>0</v>
      </c>
      <c r="O58" s="727">
        <v>0</v>
      </c>
      <c r="P58" s="719">
        <v>0</v>
      </c>
      <c r="Q58" s="598">
        <v>0</v>
      </c>
      <c r="R58" s="503">
        <v>17100</v>
      </c>
      <c r="S58" s="599">
        <v>6900</v>
      </c>
      <c r="T58" s="599">
        <v>0</v>
      </c>
      <c r="U58" s="599">
        <v>0</v>
      </c>
      <c r="V58" s="600">
        <f t="shared" si="0"/>
        <v>6900</v>
      </c>
      <c r="W58" s="601">
        <f>P58-Q58-X58</f>
        <v>0</v>
      </c>
      <c r="X58" s="602">
        <v>0</v>
      </c>
      <c r="Y58" s="604">
        <f t="shared" si="4"/>
        <v>0</v>
      </c>
      <c r="Z58" s="507">
        <v>0</v>
      </c>
      <c r="AA58" s="508">
        <v>0</v>
      </c>
    </row>
    <row r="59" spans="1:31" ht="21.95" customHeight="1" x14ac:dyDescent="0.2">
      <c r="A59" s="605" t="s">
        <v>179</v>
      </c>
      <c r="B59" s="606" t="s">
        <v>180</v>
      </c>
      <c r="C59" s="607">
        <f t="shared" ref="C59:I59" si="29">SUM(C50:C58)</f>
        <v>503805</v>
      </c>
      <c r="D59" s="607">
        <f t="shared" si="29"/>
        <v>71443</v>
      </c>
      <c r="E59" s="607">
        <f t="shared" si="29"/>
        <v>2627.88</v>
      </c>
      <c r="F59" s="607">
        <f t="shared" si="29"/>
        <v>19945</v>
      </c>
      <c r="G59" s="607">
        <f t="shared" si="29"/>
        <v>62609.7</v>
      </c>
      <c r="H59" s="608">
        <f t="shared" si="29"/>
        <v>928015.87</v>
      </c>
      <c r="I59" s="608">
        <f t="shared" si="29"/>
        <v>194779.46000000002</v>
      </c>
      <c r="J59" s="607">
        <f>SUM(J48:J58)</f>
        <v>270393.57</v>
      </c>
      <c r="K59" s="607">
        <f>SUM(K48:K58)</f>
        <v>1497761.98</v>
      </c>
      <c r="L59" s="607">
        <f>SUM(L48:L58)</f>
        <v>351165.9</v>
      </c>
      <c r="M59" s="608">
        <v>692267.66999999993</v>
      </c>
      <c r="N59" s="728">
        <f>N48+N49+N50+N51+N52+N53+N54+N56+N57+N58</f>
        <v>356703.26</v>
      </c>
      <c r="O59" s="609">
        <f>O48+O49+O50+O51+O52+O53+O54+O56+O57+O58</f>
        <v>415979.29000000004</v>
      </c>
      <c r="P59" s="761">
        <f>P48+P49+P50+P51+P52+P53+P54+P55+P56+P57+P58</f>
        <v>428125</v>
      </c>
      <c r="Q59" s="610">
        <v>0</v>
      </c>
      <c r="R59" s="611">
        <f>R48+R50+R51+R52+R53+R54+R56+R57+R58</f>
        <v>203775</v>
      </c>
      <c r="S59" s="611">
        <f>S48+S50+S51+S52+S53+S54+S56+S57+S58</f>
        <v>82225</v>
      </c>
      <c r="T59" s="612">
        <v>96103</v>
      </c>
      <c r="U59" s="612">
        <v>41186</v>
      </c>
      <c r="V59" s="613">
        <f t="shared" ref="V59:X59" si="30">SUM(V48:V58)</f>
        <v>224446</v>
      </c>
      <c r="W59" s="614">
        <f t="shared" si="30"/>
        <v>295200</v>
      </c>
      <c r="X59" s="615">
        <f t="shared" si="30"/>
        <v>4125</v>
      </c>
      <c r="Y59" s="616">
        <f t="shared" si="4"/>
        <v>341101.7699999999</v>
      </c>
      <c r="Z59" s="617">
        <f>SUM(Z48:Z58)</f>
        <v>365500</v>
      </c>
      <c r="AA59" s="618">
        <f>SUM(AA48:AA58)</f>
        <v>375000</v>
      </c>
    </row>
    <row r="60" spans="1:31" ht="14.25" customHeight="1" thickBot="1" x14ac:dyDescent="0.25">
      <c r="A60" s="619"/>
      <c r="B60" s="620" t="s">
        <v>144</v>
      </c>
      <c r="C60" s="621">
        <f t="shared" ref="C60:L60" si="31">C47+C59</f>
        <v>8645471</v>
      </c>
      <c r="D60" s="621">
        <f t="shared" si="31"/>
        <v>7666377</v>
      </c>
      <c r="E60" s="621">
        <f t="shared" si="31"/>
        <v>7503321.5299999993</v>
      </c>
      <c r="F60" s="621">
        <f t="shared" si="31"/>
        <v>7061625.3600000003</v>
      </c>
      <c r="G60" s="621">
        <f t="shared" si="31"/>
        <v>7190587.5600000015</v>
      </c>
      <c r="H60" s="622">
        <f t="shared" si="31"/>
        <v>8150958.4500000002</v>
      </c>
      <c r="I60" s="623">
        <f t="shared" si="31"/>
        <v>7703432.6100000013</v>
      </c>
      <c r="J60" s="623">
        <f t="shared" si="31"/>
        <v>8035248.2000000011</v>
      </c>
      <c r="K60" s="624">
        <f t="shared" si="31"/>
        <v>9323435.5999999996</v>
      </c>
      <c r="L60" s="621">
        <f t="shared" si="31"/>
        <v>8266027.6800000006</v>
      </c>
      <c r="M60" s="625">
        <v>7895667.3799999999</v>
      </c>
      <c r="N60" s="729">
        <f>N47+N59</f>
        <v>7679191.9799999995</v>
      </c>
      <c r="O60" s="626">
        <f>O47+O59</f>
        <v>8472178.3900000006</v>
      </c>
      <c r="P60" s="762">
        <f>P47+P59</f>
        <v>8901125</v>
      </c>
      <c r="Q60" s="627">
        <v>0</v>
      </c>
      <c r="R60" s="628">
        <f>R47+R59</f>
        <v>2235311.4299999997</v>
      </c>
      <c r="S60" s="628">
        <f>S47+S59</f>
        <v>901967.77</v>
      </c>
      <c r="T60" s="628">
        <f>T47+T59</f>
        <v>541851.8600000001</v>
      </c>
      <c r="U60" s="628">
        <f>U47+U59</f>
        <v>232220.93999999997</v>
      </c>
      <c r="V60" s="629">
        <f>S60+T60+U60-3</f>
        <v>1676037.57</v>
      </c>
      <c r="W60" s="630">
        <f>W47+W59</f>
        <v>4553699</v>
      </c>
      <c r="X60" s="631">
        <f>X47+X59</f>
        <v>6125</v>
      </c>
      <c r="Y60" s="632">
        <f t="shared" si="4"/>
        <v>-370360.30000000075</v>
      </c>
      <c r="Z60" s="633">
        <f>Z47+Z59</f>
        <v>8144100</v>
      </c>
      <c r="AA60" s="634">
        <f>AA47+AA59</f>
        <v>8821000</v>
      </c>
    </row>
    <row r="61" spans="1:31" ht="22.5" x14ac:dyDescent="0.2">
      <c r="A61" s="733">
        <v>4212</v>
      </c>
      <c r="B61" s="734" t="s">
        <v>181</v>
      </c>
      <c r="C61" s="635">
        <v>0</v>
      </c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6">
        <v>0</v>
      </c>
      <c r="J61" s="636">
        <v>0</v>
      </c>
      <c r="K61" s="635">
        <v>0</v>
      </c>
      <c r="L61" s="635">
        <v>0</v>
      </c>
      <c r="M61" s="637">
        <v>0</v>
      </c>
      <c r="N61" s="707">
        <v>0</v>
      </c>
      <c r="O61" s="475">
        <v>0</v>
      </c>
      <c r="P61" s="638">
        <v>0</v>
      </c>
      <c r="Q61" s="639">
        <v>0</v>
      </c>
      <c r="R61" s="640"/>
      <c r="S61" s="640"/>
      <c r="T61" s="640">
        <v>0</v>
      </c>
      <c r="U61" s="640">
        <v>0</v>
      </c>
      <c r="V61" s="641">
        <v>0</v>
      </c>
      <c r="W61" s="642">
        <v>0</v>
      </c>
      <c r="X61" s="643">
        <v>0</v>
      </c>
      <c r="Y61" s="748">
        <v>0</v>
      </c>
      <c r="Z61" s="644">
        <v>20300000</v>
      </c>
      <c r="AA61" s="645">
        <v>29000000</v>
      </c>
      <c r="AE61" s="646"/>
    </row>
    <row r="62" spans="1:31" ht="22.5" x14ac:dyDescent="0.2">
      <c r="A62" s="658">
        <v>4212</v>
      </c>
      <c r="B62" s="735" t="s">
        <v>182</v>
      </c>
      <c r="C62" s="603">
        <v>0</v>
      </c>
      <c r="D62" s="603">
        <v>0</v>
      </c>
      <c r="E62" s="603">
        <v>0</v>
      </c>
      <c r="F62" s="603">
        <v>0</v>
      </c>
      <c r="G62" s="603">
        <v>0</v>
      </c>
      <c r="H62" s="603">
        <v>0</v>
      </c>
      <c r="I62" s="647">
        <v>0</v>
      </c>
      <c r="J62" s="647">
        <v>0</v>
      </c>
      <c r="K62" s="603">
        <v>0</v>
      </c>
      <c r="L62" s="603">
        <v>0</v>
      </c>
      <c r="M62" s="648">
        <v>0</v>
      </c>
      <c r="N62" s="603">
        <v>0</v>
      </c>
      <c r="O62" s="649">
        <v>0</v>
      </c>
      <c r="P62" s="650">
        <v>0</v>
      </c>
      <c r="Q62" s="651">
        <v>0</v>
      </c>
      <c r="R62" s="652">
        <v>0</v>
      </c>
      <c r="S62" s="652">
        <v>0</v>
      </c>
      <c r="T62" s="652">
        <v>0</v>
      </c>
      <c r="U62" s="652">
        <v>0</v>
      </c>
      <c r="V62" s="653">
        <v>0</v>
      </c>
      <c r="W62" s="654">
        <v>0</v>
      </c>
      <c r="X62" s="655">
        <v>0</v>
      </c>
      <c r="Y62" s="749">
        <v>0</v>
      </c>
      <c r="Z62" s="656">
        <v>8700000</v>
      </c>
      <c r="AA62" s="657">
        <v>0</v>
      </c>
    </row>
    <row r="63" spans="1:31" x14ac:dyDescent="0.2">
      <c r="A63" s="658">
        <v>5443</v>
      </c>
      <c r="B63" s="735" t="s">
        <v>183</v>
      </c>
      <c r="C63" s="659">
        <v>0</v>
      </c>
      <c r="D63" s="659">
        <v>0</v>
      </c>
      <c r="E63" s="659">
        <v>0</v>
      </c>
      <c r="F63" s="659">
        <v>0</v>
      </c>
      <c r="G63" s="659">
        <v>0</v>
      </c>
      <c r="H63" s="660">
        <v>0</v>
      </c>
      <c r="I63" s="647">
        <v>0</v>
      </c>
      <c r="J63" s="647">
        <v>0</v>
      </c>
      <c r="K63" s="603">
        <v>0</v>
      </c>
      <c r="L63" s="603">
        <v>0</v>
      </c>
      <c r="M63" s="648">
        <v>0</v>
      </c>
      <c r="N63" s="603">
        <v>0</v>
      </c>
      <c r="O63" s="649">
        <v>0</v>
      </c>
      <c r="P63" s="650">
        <v>0</v>
      </c>
      <c r="Q63" s="661">
        <v>0</v>
      </c>
      <c r="R63" s="652">
        <v>0</v>
      </c>
      <c r="S63" s="652">
        <v>0</v>
      </c>
      <c r="T63" s="652">
        <v>0</v>
      </c>
      <c r="U63" s="652">
        <v>0</v>
      </c>
      <c r="V63" s="662">
        <v>0</v>
      </c>
      <c r="W63" s="654">
        <v>0</v>
      </c>
      <c r="X63" s="655">
        <v>0</v>
      </c>
      <c r="Y63" s="749">
        <v>0</v>
      </c>
      <c r="Z63" s="656">
        <v>0</v>
      </c>
      <c r="AA63" s="657">
        <v>870000</v>
      </c>
    </row>
    <row r="64" spans="1:31" x14ac:dyDescent="0.2">
      <c r="A64" s="658">
        <v>3423</v>
      </c>
      <c r="B64" s="735" t="s">
        <v>184</v>
      </c>
      <c r="C64" s="659">
        <v>0</v>
      </c>
      <c r="D64" s="659">
        <v>0</v>
      </c>
      <c r="E64" s="659">
        <v>0</v>
      </c>
      <c r="F64" s="659">
        <v>0</v>
      </c>
      <c r="G64" s="659">
        <v>0</v>
      </c>
      <c r="H64" s="660">
        <v>0</v>
      </c>
      <c r="I64" s="647">
        <v>0</v>
      </c>
      <c r="J64" s="647">
        <v>0</v>
      </c>
      <c r="K64" s="603">
        <v>0</v>
      </c>
      <c r="L64" s="603">
        <v>0</v>
      </c>
      <c r="M64" s="648">
        <v>0</v>
      </c>
      <c r="N64" s="603">
        <v>0</v>
      </c>
      <c r="O64" s="649">
        <v>0</v>
      </c>
      <c r="P64" s="650">
        <v>0</v>
      </c>
      <c r="Q64" s="661">
        <v>0</v>
      </c>
      <c r="R64" s="652">
        <v>0</v>
      </c>
      <c r="S64" s="652">
        <v>0</v>
      </c>
      <c r="T64" s="652">
        <v>0</v>
      </c>
      <c r="U64" s="652">
        <v>0</v>
      </c>
      <c r="V64" s="662">
        <v>0</v>
      </c>
      <c r="W64" s="654">
        <v>0</v>
      </c>
      <c r="X64" s="655">
        <v>0</v>
      </c>
      <c r="Y64" s="749">
        <v>0</v>
      </c>
      <c r="Z64" s="656">
        <v>0</v>
      </c>
      <c r="AA64" s="657">
        <v>114200</v>
      </c>
    </row>
    <row r="65" spans="1:27" x14ac:dyDescent="0.2">
      <c r="A65" s="663"/>
      <c r="B65" s="736" t="s">
        <v>185</v>
      </c>
      <c r="C65" s="664">
        <f>SUM(C61:C64)</f>
        <v>0</v>
      </c>
      <c r="D65" s="664">
        <f t="shared" ref="D65:Y65" si="32">SUM(D61:D64)</f>
        <v>0</v>
      </c>
      <c r="E65" s="664">
        <f t="shared" si="32"/>
        <v>0</v>
      </c>
      <c r="F65" s="664">
        <f t="shared" si="32"/>
        <v>0</v>
      </c>
      <c r="G65" s="664">
        <f t="shared" si="32"/>
        <v>0</v>
      </c>
      <c r="H65" s="664">
        <f t="shared" si="32"/>
        <v>0</v>
      </c>
      <c r="I65" s="664">
        <f t="shared" si="32"/>
        <v>0</v>
      </c>
      <c r="J65" s="664">
        <f t="shared" si="32"/>
        <v>0</v>
      </c>
      <c r="K65" s="664">
        <f t="shared" si="32"/>
        <v>0</v>
      </c>
      <c r="L65" s="664">
        <f t="shared" si="32"/>
        <v>0</v>
      </c>
      <c r="M65" s="665">
        <f t="shared" si="32"/>
        <v>0</v>
      </c>
      <c r="N65" s="730">
        <v>0</v>
      </c>
      <c r="O65" s="666">
        <v>0</v>
      </c>
      <c r="P65" s="667">
        <v>0</v>
      </c>
      <c r="Q65" s="668">
        <f t="shared" si="32"/>
        <v>0</v>
      </c>
      <c r="R65" s="669">
        <f t="shared" si="32"/>
        <v>0</v>
      </c>
      <c r="S65" s="669">
        <f t="shared" si="32"/>
        <v>0</v>
      </c>
      <c r="T65" s="669">
        <f t="shared" si="32"/>
        <v>0</v>
      </c>
      <c r="U65" s="669">
        <f t="shared" si="32"/>
        <v>0</v>
      </c>
      <c r="V65" s="667">
        <f t="shared" si="32"/>
        <v>0</v>
      </c>
      <c r="W65" s="669">
        <f t="shared" si="32"/>
        <v>0</v>
      </c>
      <c r="X65" s="669">
        <f t="shared" si="32"/>
        <v>0</v>
      </c>
      <c r="Y65" s="750">
        <f t="shared" si="32"/>
        <v>0</v>
      </c>
      <c r="Z65" s="670">
        <f>Z61+Z62</f>
        <v>29000000</v>
      </c>
      <c r="AA65" s="671">
        <f>SUM(AA61:AA64)</f>
        <v>29984200</v>
      </c>
    </row>
    <row r="66" spans="1:27" ht="12.2" customHeight="1" thickBot="1" x14ac:dyDescent="0.25">
      <c r="A66" s="672">
        <v>9221</v>
      </c>
      <c r="B66" s="673" t="s">
        <v>186</v>
      </c>
      <c r="C66" s="674"/>
      <c r="D66" s="674"/>
      <c r="E66" s="674"/>
      <c r="F66" s="674"/>
      <c r="G66" s="674"/>
      <c r="H66" s="675"/>
      <c r="I66" s="676"/>
      <c r="J66" s="676"/>
      <c r="K66" s="677"/>
      <c r="L66" s="677"/>
      <c r="M66" s="678"/>
      <c r="N66" s="731"/>
      <c r="O66" s="679"/>
      <c r="P66" s="680"/>
      <c r="Q66" s="681">
        <v>0</v>
      </c>
      <c r="R66" s="682">
        <v>0</v>
      </c>
      <c r="S66" s="682">
        <v>0</v>
      </c>
      <c r="T66" s="682">
        <v>0</v>
      </c>
      <c r="U66" s="682">
        <v>0</v>
      </c>
      <c r="V66" s="683">
        <f>S66+T66+U66</f>
        <v>0</v>
      </c>
      <c r="W66" s="684">
        <v>0</v>
      </c>
      <c r="X66" s="685">
        <v>0</v>
      </c>
      <c r="Y66" s="751">
        <f t="shared" si="4"/>
        <v>0</v>
      </c>
      <c r="Z66" s="686">
        <v>0</v>
      </c>
      <c r="AA66" s="687">
        <f>R66-Q66</f>
        <v>0</v>
      </c>
    </row>
    <row r="67" spans="1:27" ht="14.25" customHeight="1" thickBot="1" x14ac:dyDescent="0.25">
      <c r="A67" s="619"/>
      <c r="B67" s="620" t="s">
        <v>75</v>
      </c>
      <c r="C67" s="688">
        <f t="shared" ref="C67:H67" si="33">SUM(C60:C66)</f>
        <v>8645471</v>
      </c>
      <c r="D67" s="688">
        <f t="shared" si="33"/>
        <v>7666377</v>
      </c>
      <c r="E67" s="688">
        <f t="shared" si="33"/>
        <v>7503321.5299999993</v>
      </c>
      <c r="F67" s="688">
        <f t="shared" si="33"/>
        <v>7061625.3600000003</v>
      </c>
      <c r="G67" s="688">
        <f t="shared" si="33"/>
        <v>7190587.5600000015</v>
      </c>
      <c r="H67" s="689">
        <f t="shared" si="33"/>
        <v>8150958.4500000002</v>
      </c>
      <c r="I67" s="690">
        <f>I60+I66</f>
        <v>7703432.6100000013</v>
      </c>
      <c r="J67" s="690">
        <f>J60+J66</f>
        <v>8035248.2000000011</v>
      </c>
      <c r="K67" s="691">
        <f>K60+K66</f>
        <v>9323435.5999999996</v>
      </c>
      <c r="L67" s="691">
        <f>L60+L66</f>
        <v>8266027.6800000006</v>
      </c>
      <c r="M67" s="692">
        <f>M60</f>
        <v>7895667.3799999999</v>
      </c>
      <c r="N67" s="732">
        <f>N60+N65</f>
        <v>7679191.9799999995</v>
      </c>
      <c r="O67" s="693">
        <f>O60+O65</f>
        <v>8472178.3900000006</v>
      </c>
      <c r="P67" s="720">
        <f>P60+P65</f>
        <v>8901125</v>
      </c>
      <c r="Q67" s="694">
        <f>Q47</f>
        <v>4212501</v>
      </c>
      <c r="R67" s="695">
        <f>R60+R65</f>
        <v>2235311.4299999997</v>
      </c>
      <c r="S67" s="695">
        <f t="shared" ref="S67:U67" si="34">S60+S65</f>
        <v>901967.77</v>
      </c>
      <c r="T67" s="695">
        <f t="shared" si="34"/>
        <v>541851.8600000001</v>
      </c>
      <c r="U67" s="695">
        <f t="shared" si="34"/>
        <v>232220.93999999997</v>
      </c>
      <c r="V67" s="696">
        <f t="shared" ref="V67:X67" si="35">V60+V66</f>
        <v>1676037.57</v>
      </c>
      <c r="W67" s="697">
        <f t="shared" si="35"/>
        <v>4553699</v>
      </c>
      <c r="X67" s="698">
        <f t="shared" si="35"/>
        <v>6125</v>
      </c>
      <c r="Y67" s="752">
        <f t="shared" si="4"/>
        <v>-370360.30000000075</v>
      </c>
      <c r="Z67" s="699">
        <f>Z60+Z65</f>
        <v>37144100</v>
      </c>
      <c r="AA67" s="700">
        <f>AA60+AA65</f>
        <v>38805200</v>
      </c>
    </row>
    <row r="68" spans="1:27" x14ac:dyDescent="0.2">
      <c r="Q68" s="701"/>
      <c r="R68" s="702"/>
      <c r="Z68" s="425"/>
    </row>
    <row r="69" spans="1:27" x14ac:dyDescent="0.2">
      <c r="Q69" s="701"/>
      <c r="R69" s="702"/>
    </row>
    <row r="70" spans="1:27" x14ac:dyDescent="0.2">
      <c r="Q70" s="701"/>
      <c r="R70" s="702"/>
    </row>
    <row r="71" spans="1:27" x14ac:dyDescent="0.2">
      <c r="Q71" s="701"/>
      <c r="R71" s="702"/>
    </row>
    <row r="72" spans="1:27" x14ac:dyDescent="0.2">
      <c r="B72" s="703"/>
      <c r="C72" s="436"/>
      <c r="D72" s="436"/>
      <c r="E72" s="436"/>
      <c r="F72" s="436"/>
      <c r="G72" s="436"/>
      <c r="H72" s="436"/>
      <c r="I72" s="436"/>
      <c r="J72" s="436"/>
      <c r="Q72" s="701"/>
      <c r="R72" s="702"/>
    </row>
    <row r="73" spans="1:27" x14ac:dyDescent="0.2">
      <c r="K73" s="704"/>
      <c r="L73" s="704"/>
      <c r="M73" s="704"/>
      <c r="N73" s="704"/>
      <c r="O73" s="767"/>
      <c r="Q73" s="705"/>
      <c r="R73" s="702"/>
    </row>
    <row r="74" spans="1:27" x14ac:dyDescent="0.2">
      <c r="Q74" s="701"/>
      <c r="R74" s="702"/>
    </row>
    <row r="75" spans="1:27" x14ac:dyDescent="0.2">
      <c r="Q75" s="701"/>
      <c r="R75" s="702"/>
    </row>
    <row r="76" spans="1:27" x14ac:dyDescent="0.2">
      <c r="Q76" s="701"/>
      <c r="R76" s="702"/>
    </row>
  </sheetData>
  <mergeCells count="2">
    <mergeCell ref="P5:X5"/>
    <mergeCell ref="K7:X7"/>
  </mergeCells>
  <pageMargins left="0.78740157480314965" right="0" top="0" bottom="0" header="0" footer="0"/>
  <pageSetup paperSize="9" scale="48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BE46-9B58-4B4F-BE71-82922D4263B0}">
  <sheetPr>
    <tabColor theme="0"/>
    <pageSetUpPr fitToPage="1"/>
  </sheetPr>
  <dimension ref="A1:X95"/>
  <sheetViews>
    <sheetView topLeftCell="A54" zoomScale="130" zoomScaleNormal="130" workbookViewId="0">
      <selection activeCell="F87" sqref="F87"/>
    </sheetView>
  </sheetViews>
  <sheetFormatPr defaultRowHeight="11.25" x14ac:dyDescent="0.2"/>
  <cols>
    <col min="1" max="1" width="5.85546875" style="1" customWidth="1"/>
    <col min="2" max="2" width="25" style="1" customWidth="1"/>
    <col min="3" max="3" width="9.85546875" style="2" hidden="1" customWidth="1"/>
    <col min="4" max="4" width="10.5703125" style="3" customWidth="1"/>
    <col min="5" max="5" width="10" style="4" bestFit="1" customWidth="1"/>
    <col min="6" max="6" width="9.85546875" style="5" customWidth="1"/>
    <col min="7" max="7" width="10" style="4" bestFit="1" customWidth="1"/>
    <col min="8" max="8" width="9.85546875" style="5" customWidth="1"/>
    <col min="9" max="9" width="8.140625" style="5" customWidth="1"/>
    <col min="10" max="10" width="8.42578125" style="5" customWidth="1"/>
    <col min="11" max="11" width="13.7109375" style="5" customWidth="1"/>
    <col min="12" max="12" width="8.42578125" style="5" customWidth="1"/>
    <col min="13" max="13" width="9" style="6" hidden="1" customWidth="1"/>
    <col min="14" max="14" width="9" style="7" hidden="1" customWidth="1"/>
    <col min="15" max="15" width="9.42578125" style="5" hidden="1" customWidth="1"/>
    <col min="16" max="17" width="9.28515625" style="8" hidden="1" customWidth="1"/>
    <col min="18" max="18" width="9.85546875" style="3" customWidth="1"/>
    <col min="19" max="20" width="10.5703125" style="3" customWidth="1"/>
    <col min="21" max="21" width="10" style="3" customWidth="1"/>
    <col min="22" max="22" width="10.5703125" style="3" customWidth="1"/>
    <col min="23" max="23" width="9.28515625" style="3" customWidth="1"/>
    <col min="24" max="24" width="8.5703125" style="3" customWidth="1"/>
    <col min="25" max="259" width="9.140625" style="1"/>
    <col min="260" max="260" width="5.85546875" style="1" customWidth="1"/>
    <col min="261" max="261" width="25" style="1" customWidth="1"/>
    <col min="262" max="262" width="10" style="1" bestFit="1" customWidth="1"/>
    <col min="263" max="263" width="9.85546875" style="1" customWidth="1"/>
    <col min="264" max="264" width="10" style="1" bestFit="1" customWidth="1"/>
    <col min="265" max="265" width="9.85546875" style="1" customWidth="1"/>
    <col min="266" max="266" width="8.140625" style="1" customWidth="1"/>
    <col min="267" max="268" width="8.42578125" style="1" customWidth="1"/>
    <col min="269" max="270" width="9" style="1" customWidth="1"/>
    <col min="271" max="273" width="0" style="1" hidden="1" customWidth="1"/>
    <col min="274" max="274" width="9.85546875" style="1" customWidth="1"/>
    <col min="275" max="276" width="10.5703125" style="1" customWidth="1"/>
    <col min="277" max="277" width="10" style="1" customWidth="1"/>
    <col min="278" max="278" width="10.5703125" style="1" customWidth="1"/>
    <col min="279" max="279" width="9.28515625" style="1" customWidth="1"/>
    <col min="280" max="280" width="8.5703125" style="1" customWidth="1"/>
    <col min="281" max="515" width="9.140625" style="1"/>
    <col min="516" max="516" width="5.85546875" style="1" customWidth="1"/>
    <col min="517" max="517" width="25" style="1" customWidth="1"/>
    <col min="518" max="518" width="10" style="1" bestFit="1" customWidth="1"/>
    <col min="519" max="519" width="9.85546875" style="1" customWidth="1"/>
    <col min="520" max="520" width="10" style="1" bestFit="1" customWidth="1"/>
    <col min="521" max="521" width="9.85546875" style="1" customWidth="1"/>
    <col min="522" max="522" width="8.140625" style="1" customWidth="1"/>
    <col min="523" max="524" width="8.42578125" style="1" customWidth="1"/>
    <col min="525" max="526" width="9" style="1" customWidth="1"/>
    <col min="527" max="529" width="0" style="1" hidden="1" customWidth="1"/>
    <col min="530" max="530" width="9.85546875" style="1" customWidth="1"/>
    <col min="531" max="532" width="10.5703125" style="1" customWidth="1"/>
    <col min="533" max="533" width="10" style="1" customWidth="1"/>
    <col min="534" max="534" width="10.5703125" style="1" customWidth="1"/>
    <col min="535" max="535" width="9.28515625" style="1" customWidth="1"/>
    <col min="536" max="536" width="8.5703125" style="1" customWidth="1"/>
    <col min="537" max="771" width="9.140625" style="1"/>
    <col min="772" max="772" width="5.85546875" style="1" customWidth="1"/>
    <col min="773" max="773" width="25" style="1" customWidth="1"/>
    <col min="774" max="774" width="10" style="1" bestFit="1" customWidth="1"/>
    <col min="775" max="775" width="9.85546875" style="1" customWidth="1"/>
    <col min="776" max="776" width="10" style="1" bestFit="1" customWidth="1"/>
    <col min="777" max="777" width="9.85546875" style="1" customWidth="1"/>
    <col min="778" max="778" width="8.140625" style="1" customWidth="1"/>
    <col min="779" max="780" width="8.42578125" style="1" customWidth="1"/>
    <col min="781" max="782" width="9" style="1" customWidth="1"/>
    <col min="783" max="785" width="0" style="1" hidden="1" customWidth="1"/>
    <col min="786" max="786" width="9.85546875" style="1" customWidth="1"/>
    <col min="787" max="788" width="10.5703125" style="1" customWidth="1"/>
    <col min="789" max="789" width="10" style="1" customWidth="1"/>
    <col min="790" max="790" width="10.5703125" style="1" customWidth="1"/>
    <col min="791" max="791" width="9.28515625" style="1" customWidth="1"/>
    <col min="792" max="792" width="8.5703125" style="1" customWidth="1"/>
    <col min="793" max="1027" width="9.140625" style="1"/>
    <col min="1028" max="1028" width="5.85546875" style="1" customWidth="1"/>
    <col min="1029" max="1029" width="25" style="1" customWidth="1"/>
    <col min="1030" max="1030" width="10" style="1" bestFit="1" customWidth="1"/>
    <col min="1031" max="1031" width="9.85546875" style="1" customWidth="1"/>
    <col min="1032" max="1032" width="10" style="1" bestFit="1" customWidth="1"/>
    <col min="1033" max="1033" width="9.85546875" style="1" customWidth="1"/>
    <col min="1034" max="1034" width="8.140625" style="1" customWidth="1"/>
    <col min="1035" max="1036" width="8.42578125" style="1" customWidth="1"/>
    <col min="1037" max="1038" width="9" style="1" customWidth="1"/>
    <col min="1039" max="1041" width="0" style="1" hidden="1" customWidth="1"/>
    <col min="1042" max="1042" width="9.85546875" style="1" customWidth="1"/>
    <col min="1043" max="1044" width="10.5703125" style="1" customWidth="1"/>
    <col min="1045" max="1045" width="10" style="1" customWidth="1"/>
    <col min="1046" max="1046" width="10.5703125" style="1" customWidth="1"/>
    <col min="1047" max="1047" width="9.28515625" style="1" customWidth="1"/>
    <col min="1048" max="1048" width="8.5703125" style="1" customWidth="1"/>
    <col min="1049" max="1283" width="9.140625" style="1"/>
    <col min="1284" max="1284" width="5.85546875" style="1" customWidth="1"/>
    <col min="1285" max="1285" width="25" style="1" customWidth="1"/>
    <col min="1286" max="1286" width="10" style="1" bestFit="1" customWidth="1"/>
    <col min="1287" max="1287" width="9.85546875" style="1" customWidth="1"/>
    <col min="1288" max="1288" width="10" style="1" bestFit="1" customWidth="1"/>
    <col min="1289" max="1289" width="9.85546875" style="1" customWidth="1"/>
    <col min="1290" max="1290" width="8.140625" style="1" customWidth="1"/>
    <col min="1291" max="1292" width="8.42578125" style="1" customWidth="1"/>
    <col min="1293" max="1294" width="9" style="1" customWidth="1"/>
    <col min="1295" max="1297" width="0" style="1" hidden="1" customWidth="1"/>
    <col min="1298" max="1298" width="9.85546875" style="1" customWidth="1"/>
    <col min="1299" max="1300" width="10.5703125" style="1" customWidth="1"/>
    <col min="1301" max="1301" width="10" style="1" customWidth="1"/>
    <col min="1302" max="1302" width="10.5703125" style="1" customWidth="1"/>
    <col min="1303" max="1303" width="9.28515625" style="1" customWidth="1"/>
    <col min="1304" max="1304" width="8.5703125" style="1" customWidth="1"/>
    <col min="1305" max="1539" width="9.140625" style="1"/>
    <col min="1540" max="1540" width="5.85546875" style="1" customWidth="1"/>
    <col min="1541" max="1541" width="25" style="1" customWidth="1"/>
    <col min="1542" max="1542" width="10" style="1" bestFit="1" customWidth="1"/>
    <col min="1543" max="1543" width="9.85546875" style="1" customWidth="1"/>
    <col min="1544" max="1544" width="10" style="1" bestFit="1" customWidth="1"/>
    <col min="1545" max="1545" width="9.85546875" style="1" customWidth="1"/>
    <col min="1546" max="1546" width="8.140625" style="1" customWidth="1"/>
    <col min="1547" max="1548" width="8.42578125" style="1" customWidth="1"/>
    <col min="1549" max="1550" width="9" style="1" customWidth="1"/>
    <col min="1551" max="1553" width="0" style="1" hidden="1" customWidth="1"/>
    <col min="1554" max="1554" width="9.85546875" style="1" customWidth="1"/>
    <col min="1555" max="1556" width="10.5703125" style="1" customWidth="1"/>
    <col min="1557" max="1557" width="10" style="1" customWidth="1"/>
    <col min="1558" max="1558" width="10.5703125" style="1" customWidth="1"/>
    <col min="1559" max="1559" width="9.28515625" style="1" customWidth="1"/>
    <col min="1560" max="1560" width="8.5703125" style="1" customWidth="1"/>
    <col min="1561" max="1795" width="9.140625" style="1"/>
    <col min="1796" max="1796" width="5.85546875" style="1" customWidth="1"/>
    <col min="1797" max="1797" width="25" style="1" customWidth="1"/>
    <col min="1798" max="1798" width="10" style="1" bestFit="1" customWidth="1"/>
    <col min="1799" max="1799" width="9.85546875" style="1" customWidth="1"/>
    <col min="1800" max="1800" width="10" style="1" bestFit="1" customWidth="1"/>
    <col min="1801" max="1801" width="9.85546875" style="1" customWidth="1"/>
    <col min="1802" max="1802" width="8.140625" style="1" customWidth="1"/>
    <col min="1803" max="1804" width="8.42578125" style="1" customWidth="1"/>
    <col min="1805" max="1806" width="9" style="1" customWidth="1"/>
    <col min="1807" max="1809" width="0" style="1" hidden="1" customWidth="1"/>
    <col min="1810" max="1810" width="9.85546875" style="1" customWidth="1"/>
    <col min="1811" max="1812" width="10.5703125" style="1" customWidth="1"/>
    <col min="1813" max="1813" width="10" style="1" customWidth="1"/>
    <col min="1814" max="1814" width="10.5703125" style="1" customWidth="1"/>
    <col min="1815" max="1815" width="9.28515625" style="1" customWidth="1"/>
    <col min="1816" max="1816" width="8.5703125" style="1" customWidth="1"/>
    <col min="1817" max="2051" width="9.140625" style="1"/>
    <col min="2052" max="2052" width="5.85546875" style="1" customWidth="1"/>
    <col min="2053" max="2053" width="25" style="1" customWidth="1"/>
    <col min="2054" max="2054" width="10" style="1" bestFit="1" customWidth="1"/>
    <col min="2055" max="2055" width="9.85546875" style="1" customWidth="1"/>
    <col min="2056" max="2056" width="10" style="1" bestFit="1" customWidth="1"/>
    <col min="2057" max="2057" width="9.85546875" style="1" customWidth="1"/>
    <col min="2058" max="2058" width="8.140625" style="1" customWidth="1"/>
    <col min="2059" max="2060" width="8.42578125" style="1" customWidth="1"/>
    <col min="2061" max="2062" width="9" style="1" customWidth="1"/>
    <col min="2063" max="2065" width="0" style="1" hidden="1" customWidth="1"/>
    <col min="2066" max="2066" width="9.85546875" style="1" customWidth="1"/>
    <col min="2067" max="2068" width="10.5703125" style="1" customWidth="1"/>
    <col min="2069" max="2069" width="10" style="1" customWidth="1"/>
    <col min="2070" max="2070" width="10.5703125" style="1" customWidth="1"/>
    <col min="2071" max="2071" width="9.28515625" style="1" customWidth="1"/>
    <col min="2072" max="2072" width="8.5703125" style="1" customWidth="1"/>
    <col min="2073" max="2307" width="9.140625" style="1"/>
    <col min="2308" max="2308" width="5.85546875" style="1" customWidth="1"/>
    <col min="2309" max="2309" width="25" style="1" customWidth="1"/>
    <col min="2310" max="2310" width="10" style="1" bestFit="1" customWidth="1"/>
    <col min="2311" max="2311" width="9.85546875" style="1" customWidth="1"/>
    <col min="2312" max="2312" width="10" style="1" bestFit="1" customWidth="1"/>
    <col min="2313" max="2313" width="9.85546875" style="1" customWidth="1"/>
    <col min="2314" max="2314" width="8.140625" style="1" customWidth="1"/>
    <col min="2315" max="2316" width="8.42578125" style="1" customWidth="1"/>
    <col min="2317" max="2318" width="9" style="1" customWidth="1"/>
    <col min="2319" max="2321" width="0" style="1" hidden="1" customWidth="1"/>
    <col min="2322" max="2322" width="9.85546875" style="1" customWidth="1"/>
    <col min="2323" max="2324" width="10.5703125" style="1" customWidth="1"/>
    <col min="2325" max="2325" width="10" style="1" customWidth="1"/>
    <col min="2326" max="2326" width="10.5703125" style="1" customWidth="1"/>
    <col min="2327" max="2327" width="9.28515625" style="1" customWidth="1"/>
    <col min="2328" max="2328" width="8.5703125" style="1" customWidth="1"/>
    <col min="2329" max="2563" width="9.140625" style="1"/>
    <col min="2564" max="2564" width="5.85546875" style="1" customWidth="1"/>
    <col min="2565" max="2565" width="25" style="1" customWidth="1"/>
    <col min="2566" max="2566" width="10" style="1" bestFit="1" customWidth="1"/>
    <col min="2567" max="2567" width="9.85546875" style="1" customWidth="1"/>
    <col min="2568" max="2568" width="10" style="1" bestFit="1" customWidth="1"/>
    <col min="2569" max="2569" width="9.85546875" style="1" customWidth="1"/>
    <col min="2570" max="2570" width="8.140625" style="1" customWidth="1"/>
    <col min="2571" max="2572" width="8.42578125" style="1" customWidth="1"/>
    <col min="2573" max="2574" width="9" style="1" customWidth="1"/>
    <col min="2575" max="2577" width="0" style="1" hidden="1" customWidth="1"/>
    <col min="2578" max="2578" width="9.85546875" style="1" customWidth="1"/>
    <col min="2579" max="2580" width="10.5703125" style="1" customWidth="1"/>
    <col min="2581" max="2581" width="10" style="1" customWidth="1"/>
    <col min="2582" max="2582" width="10.5703125" style="1" customWidth="1"/>
    <col min="2583" max="2583" width="9.28515625" style="1" customWidth="1"/>
    <col min="2584" max="2584" width="8.5703125" style="1" customWidth="1"/>
    <col min="2585" max="2819" width="9.140625" style="1"/>
    <col min="2820" max="2820" width="5.85546875" style="1" customWidth="1"/>
    <col min="2821" max="2821" width="25" style="1" customWidth="1"/>
    <col min="2822" max="2822" width="10" style="1" bestFit="1" customWidth="1"/>
    <col min="2823" max="2823" width="9.85546875" style="1" customWidth="1"/>
    <col min="2824" max="2824" width="10" style="1" bestFit="1" customWidth="1"/>
    <col min="2825" max="2825" width="9.85546875" style="1" customWidth="1"/>
    <col min="2826" max="2826" width="8.140625" style="1" customWidth="1"/>
    <col min="2827" max="2828" width="8.42578125" style="1" customWidth="1"/>
    <col min="2829" max="2830" width="9" style="1" customWidth="1"/>
    <col min="2831" max="2833" width="0" style="1" hidden="1" customWidth="1"/>
    <col min="2834" max="2834" width="9.85546875" style="1" customWidth="1"/>
    <col min="2835" max="2836" width="10.5703125" style="1" customWidth="1"/>
    <col min="2837" max="2837" width="10" style="1" customWidth="1"/>
    <col min="2838" max="2838" width="10.5703125" style="1" customWidth="1"/>
    <col min="2839" max="2839" width="9.28515625" style="1" customWidth="1"/>
    <col min="2840" max="2840" width="8.5703125" style="1" customWidth="1"/>
    <col min="2841" max="3075" width="9.140625" style="1"/>
    <col min="3076" max="3076" width="5.85546875" style="1" customWidth="1"/>
    <col min="3077" max="3077" width="25" style="1" customWidth="1"/>
    <col min="3078" max="3078" width="10" style="1" bestFit="1" customWidth="1"/>
    <col min="3079" max="3079" width="9.85546875" style="1" customWidth="1"/>
    <col min="3080" max="3080" width="10" style="1" bestFit="1" customWidth="1"/>
    <col min="3081" max="3081" width="9.85546875" style="1" customWidth="1"/>
    <col min="3082" max="3082" width="8.140625" style="1" customWidth="1"/>
    <col min="3083" max="3084" width="8.42578125" style="1" customWidth="1"/>
    <col min="3085" max="3086" width="9" style="1" customWidth="1"/>
    <col min="3087" max="3089" width="0" style="1" hidden="1" customWidth="1"/>
    <col min="3090" max="3090" width="9.85546875" style="1" customWidth="1"/>
    <col min="3091" max="3092" width="10.5703125" style="1" customWidth="1"/>
    <col min="3093" max="3093" width="10" style="1" customWidth="1"/>
    <col min="3094" max="3094" width="10.5703125" style="1" customWidth="1"/>
    <col min="3095" max="3095" width="9.28515625" style="1" customWidth="1"/>
    <col min="3096" max="3096" width="8.5703125" style="1" customWidth="1"/>
    <col min="3097" max="3331" width="9.140625" style="1"/>
    <col min="3332" max="3332" width="5.85546875" style="1" customWidth="1"/>
    <col min="3333" max="3333" width="25" style="1" customWidth="1"/>
    <col min="3334" max="3334" width="10" style="1" bestFit="1" customWidth="1"/>
    <col min="3335" max="3335" width="9.85546875" style="1" customWidth="1"/>
    <col min="3336" max="3336" width="10" style="1" bestFit="1" customWidth="1"/>
    <col min="3337" max="3337" width="9.85546875" style="1" customWidth="1"/>
    <col min="3338" max="3338" width="8.140625" style="1" customWidth="1"/>
    <col min="3339" max="3340" width="8.42578125" style="1" customWidth="1"/>
    <col min="3341" max="3342" width="9" style="1" customWidth="1"/>
    <col min="3343" max="3345" width="0" style="1" hidden="1" customWidth="1"/>
    <col min="3346" max="3346" width="9.85546875" style="1" customWidth="1"/>
    <col min="3347" max="3348" width="10.5703125" style="1" customWidth="1"/>
    <col min="3349" max="3349" width="10" style="1" customWidth="1"/>
    <col min="3350" max="3350" width="10.5703125" style="1" customWidth="1"/>
    <col min="3351" max="3351" width="9.28515625" style="1" customWidth="1"/>
    <col min="3352" max="3352" width="8.5703125" style="1" customWidth="1"/>
    <col min="3353" max="3587" width="9.140625" style="1"/>
    <col min="3588" max="3588" width="5.85546875" style="1" customWidth="1"/>
    <col min="3589" max="3589" width="25" style="1" customWidth="1"/>
    <col min="3590" max="3590" width="10" style="1" bestFit="1" customWidth="1"/>
    <col min="3591" max="3591" width="9.85546875" style="1" customWidth="1"/>
    <col min="3592" max="3592" width="10" style="1" bestFit="1" customWidth="1"/>
    <col min="3593" max="3593" width="9.85546875" style="1" customWidth="1"/>
    <col min="3594" max="3594" width="8.140625" style="1" customWidth="1"/>
    <col min="3595" max="3596" width="8.42578125" style="1" customWidth="1"/>
    <col min="3597" max="3598" width="9" style="1" customWidth="1"/>
    <col min="3599" max="3601" width="0" style="1" hidden="1" customWidth="1"/>
    <col min="3602" max="3602" width="9.85546875" style="1" customWidth="1"/>
    <col min="3603" max="3604" width="10.5703125" style="1" customWidth="1"/>
    <col min="3605" max="3605" width="10" style="1" customWidth="1"/>
    <col min="3606" max="3606" width="10.5703125" style="1" customWidth="1"/>
    <col min="3607" max="3607" width="9.28515625" style="1" customWidth="1"/>
    <col min="3608" max="3608" width="8.5703125" style="1" customWidth="1"/>
    <col min="3609" max="3843" width="9.140625" style="1"/>
    <col min="3844" max="3844" width="5.85546875" style="1" customWidth="1"/>
    <col min="3845" max="3845" width="25" style="1" customWidth="1"/>
    <col min="3846" max="3846" width="10" style="1" bestFit="1" customWidth="1"/>
    <col min="3847" max="3847" width="9.85546875" style="1" customWidth="1"/>
    <col min="3848" max="3848" width="10" style="1" bestFit="1" customWidth="1"/>
    <col min="3849" max="3849" width="9.85546875" style="1" customWidth="1"/>
    <col min="3850" max="3850" width="8.140625" style="1" customWidth="1"/>
    <col min="3851" max="3852" width="8.42578125" style="1" customWidth="1"/>
    <col min="3853" max="3854" width="9" style="1" customWidth="1"/>
    <col min="3855" max="3857" width="0" style="1" hidden="1" customWidth="1"/>
    <col min="3858" max="3858" width="9.85546875" style="1" customWidth="1"/>
    <col min="3859" max="3860" width="10.5703125" style="1" customWidth="1"/>
    <col min="3861" max="3861" width="10" style="1" customWidth="1"/>
    <col min="3862" max="3862" width="10.5703125" style="1" customWidth="1"/>
    <col min="3863" max="3863" width="9.28515625" style="1" customWidth="1"/>
    <col min="3864" max="3864" width="8.5703125" style="1" customWidth="1"/>
    <col min="3865" max="4099" width="9.140625" style="1"/>
    <col min="4100" max="4100" width="5.85546875" style="1" customWidth="1"/>
    <col min="4101" max="4101" width="25" style="1" customWidth="1"/>
    <col min="4102" max="4102" width="10" style="1" bestFit="1" customWidth="1"/>
    <col min="4103" max="4103" width="9.85546875" style="1" customWidth="1"/>
    <col min="4104" max="4104" width="10" style="1" bestFit="1" customWidth="1"/>
    <col min="4105" max="4105" width="9.85546875" style="1" customWidth="1"/>
    <col min="4106" max="4106" width="8.140625" style="1" customWidth="1"/>
    <col min="4107" max="4108" width="8.42578125" style="1" customWidth="1"/>
    <col min="4109" max="4110" width="9" style="1" customWidth="1"/>
    <col min="4111" max="4113" width="0" style="1" hidden="1" customWidth="1"/>
    <col min="4114" max="4114" width="9.85546875" style="1" customWidth="1"/>
    <col min="4115" max="4116" width="10.5703125" style="1" customWidth="1"/>
    <col min="4117" max="4117" width="10" style="1" customWidth="1"/>
    <col min="4118" max="4118" width="10.5703125" style="1" customWidth="1"/>
    <col min="4119" max="4119" width="9.28515625" style="1" customWidth="1"/>
    <col min="4120" max="4120" width="8.5703125" style="1" customWidth="1"/>
    <col min="4121" max="4355" width="9.140625" style="1"/>
    <col min="4356" max="4356" width="5.85546875" style="1" customWidth="1"/>
    <col min="4357" max="4357" width="25" style="1" customWidth="1"/>
    <col min="4358" max="4358" width="10" style="1" bestFit="1" customWidth="1"/>
    <col min="4359" max="4359" width="9.85546875" style="1" customWidth="1"/>
    <col min="4360" max="4360" width="10" style="1" bestFit="1" customWidth="1"/>
    <col min="4361" max="4361" width="9.85546875" style="1" customWidth="1"/>
    <col min="4362" max="4362" width="8.140625" style="1" customWidth="1"/>
    <col min="4363" max="4364" width="8.42578125" style="1" customWidth="1"/>
    <col min="4365" max="4366" width="9" style="1" customWidth="1"/>
    <col min="4367" max="4369" width="0" style="1" hidden="1" customWidth="1"/>
    <col min="4370" max="4370" width="9.85546875" style="1" customWidth="1"/>
    <col min="4371" max="4372" width="10.5703125" style="1" customWidth="1"/>
    <col min="4373" max="4373" width="10" style="1" customWidth="1"/>
    <col min="4374" max="4374" width="10.5703125" style="1" customWidth="1"/>
    <col min="4375" max="4375" width="9.28515625" style="1" customWidth="1"/>
    <col min="4376" max="4376" width="8.5703125" style="1" customWidth="1"/>
    <col min="4377" max="4611" width="9.140625" style="1"/>
    <col min="4612" max="4612" width="5.85546875" style="1" customWidth="1"/>
    <col min="4613" max="4613" width="25" style="1" customWidth="1"/>
    <col min="4614" max="4614" width="10" style="1" bestFit="1" customWidth="1"/>
    <col min="4615" max="4615" width="9.85546875" style="1" customWidth="1"/>
    <col min="4616" max="4616" width="10" style="1" bestFit="1" customWidth="1"/>
    <col min="4617" max="4617" width="9.85546875" style="1" customWidth="1"/>
    <col min="4618" max="4618" width="8.140625" style="1" customWidth="1"/>
    <col min="4619" max="4620" width="8.42578125" style="1" customWidth="1"/>
    <col min="4621" max="4622" width="9" style="1" customWidth="1"/>
    <col min="4623" max="4625" width="0" style="1" hidden="1" customWidth="1"/>
    <col min="4626" max="4626" width="9.85546875" style="1" customWidth="1"/>
    <col min="4627" max="4628" width="10.5703125" style="1" customWidth="1"/>
    <col min="4629" max="4629" width="10" style="1" customWidth="1"/>
    <col min="4630" max="4630" width="10.5703125" style="1" customWidth="1"/>
    <col min="4631" max="4631" width="9.28515625" style="1" customWidth="1"/>
    <col min="4632" max="4632" width="8.5703125" style="1" customWidth="1"/>
    <col min="4633" max="4867" width="9.140625" style="1"/>
    <col min="4868" max="4868" width="5.85546875" style="1" customWidth="1"/>
    <col min="4869" max="4869" width="25" style="1" customWidth="1"/>
    <col min="4870" max="4870" width="10" style="1" bestFit="1" customWidth="1"/>
    <col min="4871" max="4871" width="9.85546875" style="1" customWidth="1"/>
    <col min="4872" max="4872" width="10" style="1" bestFit="1" customWidth="1"/>
    <col min="4873" max="4873" width="9.85546875" style="1" customWidth="1"/>
    <col min="4874" max="4874" width="8.140625" style="1" customWidth="1"/>
    <col min="4875" max="4876" width="8.42578125" style="1" customWidth="1"/>
    <col min="4877" max="4878" width="9" style="1" customWidth="1"/>
    <col min="4879" max="4881" width="0" style="1" hidden="1" customWidth="1"/>
    <col min="4882" max="4882" width="9.85546875" style="1" customWidth="1"/>
    <col min="4883" max="4884" width="10.5703125" style="1" customWidth="1"/>
    <col min="4885" max="4885" width="10" style="1" customWidth="1"/>
    <col min="4886" max="4886" width="10.5703125" style="1" customWidth="1"/>
    <col min="4887" max="4887" width="9.28515625" style="1" customWidth="1"/>
    <col min="4888" max="4888" width="8.5703125" style="1" customWidth="1"/>
    <col min="4889" max="5123" width="9.140625" style="1"/>
    <col min="5124" max="5124" width="5.85546875" style="1" customWidth="1"/>
    <col min="5125" max="5125" width="25" style="1" customWidth="1"/>
    <col min="5126" max="5126" width="10" style="1" bestFit="1" customWidth="1"/>
    <col min="5127" max="5127" width="9.85546875" style="1" customWidth="1"/>
    <col min="5128" max="5128" width="10" style="1" bestFit="1" customWidth="1"/>
    <col min="5129" max="5129" width="9.85546875" style="1" customWidth="1"/>
    <col min="5130" max="5130" width="8.140625" style="1" customWidth="1"/>
    <col min="5131" max="5132" width="8.42578125" style="1" customWidth="1"/>
    <col min="5133" max="5134" width="9" style="1" customWidth="1"/>
    <col min="5135" max="5137" width="0" style="1" hidden="1" customWidth="1"/>
    <col min="5138" max="5138" width="9.85546875" style="1" customWidth="1"/>
    <col min="5139" max="5140" width="10.5703125" style="1" customWidth="1"/>
    <col min="5141" max="5141" width="10" style="1" customWidth="1"/>
    <col min="5142" max="5142" width="10.5703125" style="1" customWidth="1"/>
    <col min="5143" max="5143" width="9.28515625" style="1" customWidth="1"/>
    <col min="5144" max="5144" width="8.5703125" style="1" customWidth="1"/>
    <col min="5145" max="5379" width="9.140625" style="1"/>
    <col min="5380" max="5380" width="5.85546875" style="1" customWidth="1"/>
    <col min="5381" max="5381" width="25" style="1" customWidth="1"/>
    <col min="5382" max="5382" width="10" style="1" bestFit="1" customWidth="1"/>
    <col min="5383" max="5383" width="9.85546875" style="1" customWidth="1"/>
    <col min="5384" max="5384" width="10" style="1" bestFit="1" customWidth="1"/>
    <col min="5385" max="5385" width="9.85546875" style="1" customWidth="1"/>
    <col min="5386" max="5386" width="8.140625" style="1" customWidth="1"/>
    <col min="5387" max="5388" width="8.42578125" style="1" customWidth="1"/>
    <col min="5389" max="5390" width="9" style="1" customWidth="1"/>
    <col min="5391" max="5393" width="0" style="1" hidden="1" customWidth="1"/>
    <col min="5394" max="5394" width="9.85546875" style="1" customWidth="1"/>
    <col min="5395" max="5396" width="10.5703125" style="1" customWidth="1"/>
    <col min="5397" max="5397" width="10" style="1" customWidth="1"/>
    <col min="5398" max="5398" width="10.5703125" style="1" customWidth="1"/>
    <col min="5399" max="5399" width="9.28515625" style="1" customWidth="1"/>
    <col min="5400" max="5400" width="8.5703125" style="1" customWidth="1"/>
    <col min="5401" max="5635" width="9.140625" style="1"/>
    <col min="5636" max="5636" width="5.85546875" style="1" customWidth="1"/>
    <col min="5637" max="5637" width="25" style="1" customWidth="1"/>
    <col min="5638" max="5638" width="10" style="1" bestFit="1" customWidth="1"/>
    <col min="5639" max="5639" width="9.85546875" style="1" customWidth="1"/>
    <col min="5640" max="5640" width="10" style="1" bestFit="1" customWidth="1"/>
    <col min="5641" max="5641" width="9.85546875" style="1" customWidth="1"/>
    <col min="5642" max="5642" width="8.140625" style="1" customWidth="1"/>
    <col min="5643" max="5644" width="8.42578125" style="1" customWidth="1"/>
    <col min="5645" max="5646" width="9" style="1" customWidth="1"/>
    <col min="5647" max="5649" width="0" style="1" hidden="1" customWidth="1"/>
    <col min="5650" max="5650" width="9.85546875" style="1" customWidth="1"/>
    <col min="5651" max="5652" width="10.5703125" style="1" customWidth="1"/>
    <col min="5653" max="5653" width="10" style="1" customWidth="1"/>
    <col min="5654" max="5654" width="10.5703125" style="1" customWidth="1"/>
    <col min="5655" max="5655" width="9.28515625" style="1" customWidth="1"/>
    <col min="5656" max="5656" width="8.5703125" style="1" customWidth="1"/>
    <col min="5657" max="5891" width="9.140625" style="1"/>
    <col min="5892" max="5892" width="5.85546875" style="1" customWidth="1"/>
    <col min="5893" max="5893" width="25" style="1" customWidth="1"/>
    <col min="5894" max="5894" width="10" style="1" bestFit="1" customWidth="1"/>
    <col min="5895" max="5895" width="9.85546875" style="1" customWidth="1"/>
    <col min="5896" max="5896" width="10" style="1" bestFit="1" customWidth="1"/>
    <col min="5897" max="5897" width="9.85546875" style="1" customWidth="1"/>
    <col min="5898" max="5898" width="8.140625" style="1" customWidth="1"/>
    <col min="5899" max="5900" width="8.42578125" style="1" customWidth="1"/>
    <col min="5901" max="5902" width="9" style="1" customWidth="1"/>
    <col min="5903" max="5905" width="0" style="1" hidden="1" customWidth="1"/>
    <col min="5906" max="5906" width="9.85546875" style="1" customWidth="1"/>
    <col min="5907" max="5908" width="10.5703125" style="1" customWidth="1"/>
    <col min="5909" max="5909" width="10" style="1" customWidth="1"/>
    <col min="5910" max="5910" width="10.5703125" style="1" customWidth="1"/>
    <col min="5911" max="5911" width="9.28515625" style="1" customWidth="1"/>
    <col min="5912" max="5912" width="8.5703125" style="1" customWidth="1"/>
    <col min="5913" max="6147" width="9.140625" style="1"/>
    <col min="6148" max="6148" width="5.85546875" style="1" customWidth="1"/>
    <col min="6149" max="6149" width="25" style="1" customWidth="1"/>
    <col min="6150" max="6150" width="10" style="1" bestFit="1" customWidth="1"/>
    <col min="6151" max="6151" width="9.85546875" style="1" customWidth="1"/>
    <col min="6152" max="6152" width="10" style="1" bestFit="1" customWidth="1"/>
    <col min="6153" max="6153" width="9.85546875" style="1" customWidth="1"/>
    <col min="6154" max="6154" width="8.140625" style="1" customWidth="1"/>
    <col min="6155" max="6156" width="8.42578125" style="1" customWidth="1"/>
    <col min="6157" max="6158" width="9" style="1" customWidth="1"/>
    <col min="6159" max="6161" width="0" style="1" hidden="1" customWidth="1"/>
    <col min="6162" max="6162" width="9.85546875" style="1" customWidth="1"/>
    <col min="6163" max="6164" width="10.5703125" style="1" customWidth="1"/>
    <col min="6165" max="6165" width="10" style="1" customWidth="1"/>
    <col min="6166" max="6166" width="10.5703125" style="1" customWidth="1"/>
    <col min="6167" max="6167" width="9.28515625" style="1" customWidth="1"/>
    <col min="6168" max="6168" width="8.5703125" style="1" customWidth="1"/>
    <col min="6169" max="6403" width="9.140625" style="1"/>
    <col min="6404" max="6404" width="5.85546875" style="1" customWidth="1"/>
    <col min="6405" max="6405" width="25" style="1" customWidth="1"/>
    <col min="6406" max="6406" width="10" style="1" bestFit="1" customWidth="1"/>
    <col min="6407" max="6407" width="9.85546875" style="1" customWidth="1"/>
    <col min="6408" max="6408" width="10" style="1" bestFit="1" customWidth="1"/>
    <col min="6409" max="6409" width="9.85546875" style="1" customWidth="1"/>
    <col min="6410" max="6410" width="8.140625" style="1" customWidth="1"/>
    <col min="6411" max="6412" width="8.42578125" style="1" customWidth="1"/>
    <col min="6413" max="6414" width="9" style="1" customWidth="1"/>
    <col min="6415" max="6417" width="0" style="1" hidden="1" customWidth="1"/>
    <col min="6418" max="6418" width="9.85546875" style="1" customWidth="1"/>
    <col min="6419" max="6420" width="10.5703125" style="1" customWidth="1"/>
    <col min="6421" max="6421" width="10" style="1" customWidth="1"/>
    <col min="6422" max="6422" width="10.5703125" style="1" customWidth="1"/>
    <col min="6423" max="6423" width="9.28515625" style="1" customWidth="1"/>
    <col min="6424" max="6424" width="8.5703125" style="1" customWidth="1"/>
    <col min="6425" max="6659" width="9.140625" style="1"/>
    <col min="6660" max="6660" width="5.85546875" style="1" customWidth="1"/>
    <col min="6661" max="6661" width="25" style="1" customWidth="1"/>
    <col min="6662" max="6662" width="10" style="1" bestFit="1" customWidth="1"/>
    <col min="6663" max="6663" width="9.85546875" style="1" customWidth="1"/>
    <col min="6664" max="6664" width="10" style="1" bestFit="1" customWidth="1"/>
    <col min="6665" max="6665" width="9.85546875" style="1" customWidth="1"/>
    <col min="6666" max="6666" width="8.140625" style="1" customWidth="1"/>
    <col min="6667" max="6668" width="8.42578125" style="1" customWidth="1"/>
    <col min="6669" max="6670" width="9" style="1" customWidth="1"/>
    <col min="6671" max="6673" width="0" style="1" hidden="1" customWidth="1"/>
    <col min="6674" max="6674" width="9.85546875" style="1" customWidth="1"/>
    <col min="6675" max="6676" width="10.5703125" style="1" customWidth="1"/>
    <col min="6677" max="6677" width="10" style="1" customWidth="1"/>
    <col min="6678" max="6678" width="10.5703125" style="1" customWidth="1"/>
    <col min="6679" max="6679" width="9.28515625" style="1" customWidth="1"/>
    <col min="6680" max="6680" width="8.5703125" style="1" customWidth="1"/>
    <col min="6681" max="6915" width="9.140625" style="1"/>
    <col min="6916" max="6916" width="5.85546875" style="1" customWidth="1"/>
    <col min="6917" max="6917" width="25" style="1" customWidth="1"/>
    <col min="6918" max="6918" width="10" style="1" bestFit="1" customWidth="1"/>
    <col min="6919" max="6919" width="9.85546875" style="1" customWidth="1"/>
    <col min="6920" max="6920" width="10" style="1" bestFit="1" customWidth="1"/>
    <col min="6921" max="6921" width="9.85546875" style="1" customWidth="1"/>
    <col min="6922" max="6922" width="8.140625" style="1" customWidth="1"/>
    <col min="6923" max="6924" width="8.42578125" style="1" customWidth="1"/>
    <col min="6925" max="6926" width="9" style="1" customWidth="1"/>
    <col min="6927" max="6929" width="0" style="1" hidden="1" customWidth="1"/>
    <col min="6930" max="6930" width="9.85546875" style="1" customWidth="1"/>
    <col min="6931" max="6932" width="10.5703125" style="1" customWidth="1"/>
    <col min="6933" max="6933" width="10" style="1" customWidth="1"/>
    <col min="6934" max="6934" width="10.5703125" style="1" customWidth="1"/>
    <col min="6935" max="6935" width="9.28515625" style="1" customWidth="1"/>
    <col min="6936" max="6936" width="8.5703125" style="1" customWidth="1"/>
    <col min="6937" max="7171" width="9.140625" style="1"/>
    <col min="7172" max="7172" width="5.85546875" style="1" customWidth="1"/>
    <col min="7173" max="7173" width="25" style="1" customWidth="1"/>
    <col min="7174" max="7174" width="10" style="1" bestFit="1" customWidth="1"/>
    <col min="7175" max="7175" width="9.85546875" style="1" customWidth="1"/>
    <col min="7176" max="7176" width="10" style="1" bestFit="1" customWidth="1"/>
    <col min="7177" max="7177" width="9.85546875" style="1" customWidth="1"/>
    <col min="7178" max="7178" width="8.140625" style="1" customWidth="1"/>
    <col min="7179" max="7180" width="8.42578125" style="1" customWidth="1"/>
    <col min="7181" max="7182" width="9" style="1" customWidth="1"/>
    <col min="7183" max="7185" width="0" style="1" hidden="1" customWidth="1"/>
    <col min="7186" max="7186" width="9.85546875" style="1" customWidth="1"/>
    <col min="7187" max="7188" width="10.5703125" style="1" customWidth="1"/>
    <col min="7189" max="7189" width="10" style="1" customWidth="1"/>
    <col min="7190" max="7190" width="10.5703125" style="1" customWidth="1"/>
    <col min="7191" max="7191" width="9.28515625" style="1" customWidth="1"/>
    <col min="7192" max="7192" width="8.5703125" style="1" customWidth="1"/>
    <col min="7193" max="7427" width="9.140625" style="1"/>
    <col min="7428" max="7428" width="5.85546875" style="1" customWidth="1"/>
    <col min="7429" max="7429" width="25" style="1" customWidth="1"/>
    <col min="7430" max="7430" width="10" style="1" bestFit="1" customWidth="1"/>
    <col min="7431" max="7431" width="9.85546875" style="1" customWidth="1"/>
    <col min="7432" max="7432" width="10" style="1" bestFit="1" customWidth="1"/>
    <col min="7433" max="7433" width="9.85546875" style="1" customWidth="1"/>
    <col min="7434" max="7434" width="8.140625" style="1" customWidth="1"/>
    <col min="7435" max="7436" width="8.42578125" style="1" customWidth="1"/>
    <col min="7437" max="7438" width="9" style="1" customWidth="1"/>
    <col min="7439" max="7441" width="0" style="1" hidden="1" customWidth="1"/>
    <col min="7442" max="7442" width="9.85546875" style="1" customWidth="1"/>
    <col min="7443" max="7444" width="10.5703125" style="1" customWidth="1"/>
    <col min="7445" max="7445" width="10" style="1" customWidth="1"/>
    <col min="7446" max="7446" width="10.5703125" style="1" customWidth="1"/>
    <col min="7447" max="7447" width="9.28515625" style="1" customWidth="1"/>
    <col min="7448" max="7448" width="8.5703125" style="1" customWidth="1"/>
    <col min="7449" max="7683" width="9.140625" style="1"/>
    <col min="7684" max="7684" width="5.85546875" style="1" customWidth="1"/>
    <col min="7685" max="7685" width="25" style="1" customWidth="1"/>
    <col min="7686" max="7686" width="10" style="1" bestFit="1" customWidth="1"/>
    <col min="7687" max="7687" width="9.85546875" style="1" customWidth="1"/>
    <col min="7688" max="7688" width="10" style="1" bestFit="1" customWidth="1"/>
    <col min="7689" max="7689" width="9.85546875" style="1" customWidth="1"/>
    <col min="7690" max="7690" width="8.140625" style="1" customWidth="1"/>
    <col min="7691" max="7692" width="8.42578125" style="1" customWidth="1"/>
    <col min="7693" max="7694" width="9" style="1" customWidth="1"/>
    <col min="7695" max="7697" width="0" style="1" hidden="1" customWidth="1"/>
    <col min="7698" max="7698" width="9.85546875" style="1" customWidth="1"/>
    <col min="7699" max="7700" width="10.5703125" style="1" customWidth="1"/>
    <col min="7701" max="7701" width="10" style="1" customWidth="1"/>
    <col min="7702" max="7702" width="10.5703125" style="1" customWidth="1"/>
    <col min="7703" max="7703" width="9.28515625" style="1" customWidth="1"/>
    <col min="7704" max="7704" width="8.5703125" style="1" customWidth="1"/>
    <col min="7705" max="7939" width="9.140625" style="1"/>
    <col min="7940" max="7940" width="5.85546875" style="1" customWidth="1"/>
    <col min="7941" max="7941" width="25" style="1" customWidth="1"/>
    <col min="7942" max="7942" width="10" style="1" bestFit="1" customWidth="1"/>
    <col min="7943" max="7943" width="9.85546875" style="1" customWidth="1"/>
    <col min="7944" max="7944" width="10" style="1" bestFit="1" customWidth="1"/>
    <col min="7945" max="7945" width="9.85546875" style="1" customWidth="1"/>
    <col min="7946" max="7946" width="8.140625" style="1" customWidth="1"/>
    <col min="7947" max="7948" width="8.42578125" style="1" customWidth="1"/>
    <col min="7949" max="7950" width="9" style="1" customWidth="1"/>
    <col min="7951" max="7953" width="0" style="1" hidden="1" customWidth="1"/>
    <col min="7954" max="7954" width="9.85546875" style="1" customWidth="1"/>
    <col min="7955" max="7956" width="10.5703125" style="1" customWidth="1"/>
    <col min="7957" max="7957" width="10" style="1" customWidth="1"/>
    <col min="7958" max="7958" width="10.5703125" style="1" customWidth="1"/>
    <col min="7959" max="7959" width="9.28515625" style="1" customWidth="1"/>
    <col min="7960" max="7960" width="8.5703125" style="1" customWidth="1"/>
    <col min="7961" max="8195" width="9.140625" style="1"/>
    <col min="8196" max="8196" width="5.85546875" style="1" customWidth="1"/>
    <col min="8197" max="8197" width="25" style="1" customWidth="1"/>
    <col min="8198" max="8198" width="10" style="1" bestFit="1" customWidth="1"/>
    <col min="8199" max="8199" width="9.85546875" style="1" customWidth="1"/>
    <col min="8200" max="8200" width="10" style="1" bestFit="1" customWidth="1"/>
    <col min="8201" max="8201" width="9.85546875" style="1" customWidth="1"/>
    <col min="8202" max="8202" width="8.140625" style="1" customWidth="1"/>
    <col min="8203" max="8204" width="8.42578125" style="1" customWidth="1"/>
    <col min="8205" max="8206" width="9" style="1" customWidth="1"/>
    <col min="8207" max="8209" width="0" style="1" hidden="1" customWidth="1"/>
    <col min="8210" max="8210" width="9.85546875" style="1" customWidth="1"/>
    <col min="8211" max="8212" width="10.5703125" style="1" customWidth="1"/>
    <col min="8213" max="8213" width="10" style="1" customWidth="1"/>
    <col min="8214" max="8214" width="10.5703125" style="1" customWidth="1"/>
    <col min="8215" max="8215" width="9.28515625" style="1" customWidth="1"/>
    <col min="8216" max="8216" width="8.5703125" style="1" customWidth="1"/>
    <col min="8217" max="8451" width="9.140625" style="1"/>
    <col min="8452" max="8452" width="5.85546875" style="1" customWidth="1"/>
    <col min="8453" max="8453" width="25" style="1" customWidth="1"/>
    <col min="8454" max="8454" width="10" style="1" bestFit="1" customWidth="1"/>
    <col min="8455" max="8455" width="9.85546875" style="1" customWidth="1"/>
    <col min="8456" max="8456" width="10" style="1" bestFit="1" customWidth="1"/>
    <col min="8457" max="8457" width="9.85546875" style="1" customWidth="1"/>
    <col min="8458" max="8458" width="8.140625" style="1" customWidth="1"/>
    <col min="8459" max="8460" width="8.42578125" style="1" customWidth="1"/>
    <col min="8461" max="8462" width="9" style="1" customWidth="1"/>
    <col min="8463" max="8465" width="0" style="1" hidden="1" customWidth="1"/>
    <col min="8466" max="8466" width="9.85546875" style="1" customWidth="1"/>
    <col min="8467" max="8468" width="10.5703125" style="1" customWidth="1"/>
    <col min="8469" max="8469" width="10" style="1" customWidth="1"/>
    <col min="8470" max="8470" width="10.5703125" style="1" customWidth="1"/>
    <col min="8471" max="8471" width="9.28515625" style="1" customWidth="1"/>
    <col min="8472" max="8472" width="8.5703125" style="1" customWidth="1"/>
    <col min="8473" max="8707" width="9.140625" style="1"/>
    <col min="8708" max="8708" width="5.85546875" style="1" customWidth="1"/>
    <col min="8709" max="8709" width="25" style="1" customWidth="1"/>
    <col min="8710" max="8710" width="10" style="1" bestFit="1" customWidth="1"/>
    <col min="8711" max="8711" width="9.85546875" style="1" customWidth="1"/>
    <col min="8712" max="8712" width="10" style="1" bestFit="1" customWidth="1"/>
    <col min="8713" max="8713" width="9.85546875" style="1" customWidth="1"/>
    <col min="8714" max="8714" width="8.140625" style="1" customWidth="1"/>
    <col min="8715" max="8716" width="8.42578125" style="1" customWidth="1"/>
    <col min="8717" max="8718" width="9" style="1" customWidth="1"/>
    <col min="8719" max="8721" width="0" style="1" hidden="1" customWidth="1"/>
    <col min="8722" max="8722" width="9.85546875" style="1" customWidth="1"/>
    <col min="8723" max="8724" width="10.5703125" style="1" customWidth="1"/>
    <col min="8725" max="8725" width="10" style="1" customWidth="1"/>
    <col min="8726" max="8726" width="10.5703125" style="1" customWidth="1"/>
    <col min="8727" max="8727" width="9.28515625" style="1" customWidth="1"/>
    <col min="8728" max="8728" width="8.5703125" style="1" customWidth="1"/>
    <col min="8729" max="8963" width="9.140625" style="1"/>
    <col min="8964" max="8964" width="5.85546875" style="1" customWidth="1"/>
    <col min="8965" max="8965" width="25" style="1" customWidth="1"/>
    <col min="8966" max="8966" width="10" style="1" bestFit="1" customWidth="1"/>
    <col min="8967" max="8967" width="9.85546875" style="1" customWidth="1"/>
    <col min="8968" max="8968" width="10" style="1" bestFit="1" customWidth="1"/>
    <col min="8969" max="8969" width="9.85546875" style="1" customWidth="1"/>
    <col min="8970" max="8970" width="8.140625" style="1" customWidth="1"/>
    <col min="8971" max="8972" width="8.42578125" style="1" customWidth="1"/>
    <col min="8973" max="8974" width="9" style="1" customWidth="1"/>
    <col min="8975" max="8977" width="0" style="1" hidden="1" customWidth="1"/>
    <col min="8978" max="8978" width="9.85546875" style="1" customWidth="1"/>
    <col min="8979" max="8980" width="10.5703125" style="1" customWidth="1"/>
    <col min="8981" max="8981" width="10" style="1" customWidth="1"/>
    <col min="8982" max="8982" width="10.5703125" style="1" customWidth="1"/>
    <col min="8983" max="8983" width="9.28515625" style="1" customWidth="1"/>
    <col min="8984" max="8984" width="8.5703125" style="1" customWidth="1"/>
    <col min="8985" max="9219" width="9.140625" style="1"/>
    <col min="9220" max="9220" width="5.85546875" style="1" customWidth="1"/>
    <col min="9221" max="9221" width="25" style="1" customWidth="1"/>
    <col min="9222" max="9222" width="10" style="1" bestFit="1" customWidth="1"/>
    <col min="9223" max="9223" width="9.85546875" style="1" customWidth="1"/>
    <col min="9224" max="9224" width="10" style="1" bestFit="1" customWidth="1"/>
    <col min="9225" max="9225" width="9.85546875" style="1" customWidth="1"/>
    <col min="9226" max="9226" width="8.140625" style="1" customWidth="1"/>
    <col min="9227" max="9228" width="8.42578125" style="1" customWidth="1"/>
    <col min="9229" max="9230" width="9" style="1" customWidth="1"/>
    <col min="9231" max="9233" width="0" style="1" hidden="1" customWidth="1"/>
    <col min="9234" max="9234" width="9.85546875" style="1" customWidth="1"/>
    <col min="9235" max="9236" width="10.5703125" style="1" customWidth="1"/>
    <col min="9237" max="9237" width="10" style="1" customWidth="1"/>
    <col min="9238" max="9238" width="10.5703125" style="1" customWidth="1"/>
    <col min="9239" max="9239" width="9.28515625" style="1" customWidth="1"/>
    <col min="9240" max="9240" width="8.5703125" style="1" customWidth="1"/>
    <col min="9241" max="9475" width="9.140625" style="1"/>
    <col min="9476" max="9476" width="5.85546875" style="1" customWidth="1"/>
    <col min="9477" max="9477" width="25" style="1" customWidth="1"/>
    <col min="9478" max="9478" width="10" style="1" bestFit="1" customWidth="1"/>
    <col min="9479" max="9479" width="9.85546875" style="1" customWidth="1"/>
    <col min="9480" max="9480" width="10" style="1" bestFit="1" customWidth="1"/>
    <col min="9481" max="9481" width="9.85546875" style="1" customWidth="1"/>
    <col min="9482" max="9482" width="8.140625" style="1" customWidth="1"/>
    <col min="9483" max="9484" width="8.42578125" style="1" customWidth="1"/>
    <col min="9485" max="9486" width="9" style="1" customWidth="1"/>
    <col min="9487" max="9489" width="0" style="1" hidden="1" customWidth="1"/>
    <col min="9490" max="9490" width="9.85546875" style="1" customWidth="1"/>
    <col min="9491" max="9492" width="10.5703125" style="1" customWidth="1"/>
    <col min="9493" max="9493" width="10" style="1" customWidth="1"/>
    <col min="9494" max="9494" width="10.5703125" style="1" customWidth="1"/>
    <col min="9495" max="9495" width="9.28515625" style="1" customWidth="1"/>
    <col min="9496" max="9496" width="8.5703125" style="1" customWidth="1"/>
    <col min="9497" max="9731" width="9.140625" style="1"/>
    <col min="9732" max="9732" width="5.85546875" style="1" customWidth="1"/>
    <col min="9733" max="9733" width="25" style="1" customWidth="1"/>
    <col min="9734" max="9734" width="10" style="1" bestFit="1" customWidth="1"/>
    <col min="9735" max="9735" width="9.85546875" style="1" customWidth="1"/>
    <col min="9736" max="9736" width="10" style="1" bestFit="1" customWidth="1"/>
    <col min="9737" max="9737" width="9.85546875" style="1" customWidth="1"/>
    <col min="9738" max="9738" width="8.140625" style="1" customWidth="1"/>
    <col min="9739" max="9740" width="8.42578125" style="1" customWidth="1"/>
    <col min="9741" max="9742" width="9" style="1" customWidth="1"/>
    <col min="9743" max="9745" width="0" style="1" hidden="1" customWidth="1"/>
    <col min="9746" max="9746" width="9.85546875" style="1" customWidth="1"/>
    <col min="9747" max="9748" width="10.5703125" style="1" customWidth="1"/>
    <col min="9749" max="9749" width="10" style="1" customWidth="1"/>
    <col min="9750" max="9750" width="10.5703125" style="1" customWidth="1"/>
    <col min="9751" max="9751" width="9.28515625" style="1" customWidth="1"/>
    <col min="9752" max="9752" width="8.5703125" style="1" customWidth="1"/>
    <col min="9753" max="9987" width="9.140625" style="1"/>
    <col min="9988" max="9988" width="5.85546875" style="1" customWidth="1"/>
    <col min="9989" max="9989" width="25" style="1" customWidth="1"/>
    <col min="9990" max="9990" width="10" style="1" bestFit="1" customWidth="1"/>
    <col min="9991" max="9991" width="9.85546875" style="1" customWidth="1"/>
    <col min="9992" max="9992" width="10" style="1" bestFit="1" customWidth="1"/>
    <col min="9993" max="9993" width="9.85546875" style="1" customWidth="1"/>
    <col min="9994" max="9994" width="8.140625" style="1" customWidth="1"/>
    <col min="9995" max="9996" width="8.42578125" style="1" customWidth="1"/>
    <col min="9997" max="9998" width="9" style="1" customWidth="1"/>
    <col min="9999" max="10001" width="0" style="1" hidden="1" customWidth="1"/>
    <col min="10002" max="10002" width="9.85546875" style="1" customWidth="1"/>
    <col min="10003" max="10004" width="10.5703125" style="1" customWidth="1"/>
    <col min="10005" max="10005" width="10" style="1" customWidth="1"/>
    <col min="10006" max="10006" width="10.5703125" style="1" customWidth="1"/>
    <col min="10007" max="10007" width="9.28515625" style="1" customWidth="1"/>
    <col min="10008" max="10008" width="8.5703125" style="1" customWidth="1"/>
    <col min="10009" max="10243" width="9.140625" style="1"/>
    <col min="10244" max="10244" width="5.85546875" style="1" customWidth="1"/>
    <col min="10245" max="10245" width="25" style="1" customWidth="1"/>
    <col min="10246" max="10246" width="10" style="1" bestFit="1" customWidth="1"/>
    <col min="10247" max="10247" width="9.85546875" style="1" customWidth="1"/>
    <col min="10248" max="10248" width="10" style="1" bestFit="1" customWidth="1"/>
    <col min="10249" max="10249" width="9.85546875" style="1" customWidth="1"/>
    <col min="10250" max="10250" width="8.140625" style="1" customWidth="1"/>
    <col min="10251" max="10252" width="8.42578125" style="1" customWidth="1"/>
    <col min="10253" max="10254" width="9" style="1" customWidth="1"/>
    <col min="10255" max="10257" width="0" style="1" hidden="1" customWidth="1"/>
    <col min="10258" max="10258" width="9.85546875" style="1" customWidth="1"/>
    <col min="10259" max="10260" width="10.5703125" style="1" customWidth="1"/>
    <col min="10261" max="10261" width="10" style="1" customWidth="1"/>
    <col min="10262" max="10262" width="10.5703125" style="1" customWidth="1"/>
    <col min="10263" max="10263" width="9.28515625" style="1" customWidth="1"/>
    <col min="10264" max="10264" width="8.5703125" style="1" customWidth="1"/>
    <col min="10265" max="10499" width="9.140625" style="1"/>
    <col min="10500" max="10500" width="5.85546875" style="1" customWidth="1"/>
    <col min="10501" max="10501" width="25" style="1" customWidth="1"/>
    <col min="10502" max="10502" width="10" style="1" bestFit="1" customWidth="1"/>
    <col min="10503" max="10503" width="9.85546875" style="1" customWidth="1"/>
    <col min="10504" max="10504" width="10" style="1" bestFit="1" customWidth="1"/>
    <col min="10505" max="10505" width="9.85546875" style="1" customWidth="1"/>
    <col min="10506" max="10506" width="8.140625" style="1" customWidth="1"/>
    <col min="10507" max="10508" width="8.42578125" style="1" customWidth="1"/>
    <col min="10509" max="10510" width="9" style="1" customWidth="1"/>
    <col min="10511" max="10513" width="0" style="1" hidden="1" customWidth="1"/>
    <col min="10514" max="10514" width="9.85546875" style="1" customWidth="1"/>
    <col min="10515" max="10516" width="10.5703125" style="1" customWidth="1"/>
    <col min="10517" max="10517" width="10" style="1" customWidth="1"/>
    <col min="10518" max="10518" width="10.5703125" style="1" customWidth="1"/>
    <col min="10519" max="10519" width="9.28515625" style="1" customWidth="1"/>
    <col min="10520" max="10520" width="8.5703125" style="1" customWidth="1"/>
    <col min="10521" max="10755" width="9.140625" style="1"/>
    <col min="10756" max="10756" width="5.85546875" style="1" customWidth="1"/>
    <col min="10757" max="10757" width="25" style="1" customWidth="1"/>
    <col min="10758" max="10758" width="10" style="1" bestFit="1" customWidth="1"/>
    <col min="10759" max="10759" width="9.85546875" style="1" customWidth="1"/>
    <col min="10760" max="10760" width="10" style="1" bestFit="1" customWidth="1"/>
    <col min="10761" max="10761" width="9.85546875" style="1" customWidth="1"/>
    <col min="10762" max="10762" width="8.140625" style="1" customWidth="1"/>
    <col min="10763" max="10764" width="8.42578125" style="1" customWidth="1"/>
    <col min="10765" max="10766" width="9" style="1" customWidth="1"/>
    <col min="10767" max="10769" width="0" style="1" hidden="1" customWidth="1"/>
    <col min="10770" max="10770" width="9.85546875" style="1" customWidth="1"/>
    <col min="10771" max="10772" width="10.5703125" style="1" customWidth="1"/>
    <col min="10773" max="10773" width="10" style="1" customWidth="1"/>
    <col min="10774" max="10774" width="10.5703125" style="1" customWidth="1"/>
    <col min="10775" max="10775" width="9.28515625" style="1" customWidth="1"/>
    <col min="10776" max="10776" width="8.5703125" style="1" customWidth="1"/>
    <col min="10777" max="11011" width="9.140625" style="1"/>
    <col min="11012" max="11012" width="5.85546875" style="1" customWidth="1"/>
    <col min="11013" max="11013" width="25" style="1" customWidth="1"/>
    <col min="11014" max="11014" width="10" style="1" bestFit="1" customWidth="1"/>
    <col min="11015" max="11015" width="9.85546875" style="1" customWidth="1"/>
    <col min="11016" max="11016" width="10" style="1" bestFit="1" customWidth="1"/>
    <col min="11017" max="11017" width="9.85546875" style="1" customWidth="1"/>
    <col min="11018" max="11018" width="8.140625" style="1" customWidth="1"/>
    <col min="11019" max="11020" width="8.42578125" style="1" customWidth="1"/>
    <col min="11021" max="11022" width="9" style="1" customWidth="1"/>
    <col min="11023" max="11025" width="0" style="1" hidden="1" customWidth="1"/>
    <col min="11026" max="11026" width="9.85546875" style="1" customWidth="1"/>
    <col min="11027" max="11028" width="10.5703125" style="1" customWidth="1"/>
    <col min="11029" max="11029" width="10" style="1" customWidth="1"/>
    <col min="11030" max="11030" width="10.5703125" style="1" customWidth="1"/>
    <col min="11031" max="11031" width="9.28515625" style="1" customWidth="1"/>
    <col min="11032" max="11032" width="8.5703125" style="1" customWidth="1"/>
    <col min="11033" max="11267" width="9.140625" style="1"/>
    <col min="11268" max="11268" width="5.85546875" style="1" customWidth="1"/>
    <col min="11269" max="11269" width="25" style="1" customWidth="1"/>
    <col min="11270" max="11270" width="10" style="1" bestFit="1" customWidth="1"/>
    <col min="11271" max="11271" width="9.85546875" style="1" customWidth="1"/>
    <col min="11272" max="11272" width="10" style="1" bestFit="1" customWidth="1"/>
    <col min="11273" max="11273" width="9.85546875" style="1" customWidth="1"/>
    <col min="11274" max="11274" width="8.140625" style="1" customWidth="1"/>
    <col min="11275" max="11276" width="8.42578125" style="1" customWidth="1"/>
    <col min="11277" max="11278" width="9" style="1" customWidth="1"/>
    <col min="11279" max="11281" width="0" style="1" hidden="1" customWidth="1"/>
    <col min="11282" max="11282" width="9.85546875" style="1" customWidth="1"/>
    <col min="11283" max="11284" width="10.5703125" style="1" customWidth="1"/>
    <col min="11285" max="11285" width="10" style="1" customWidth="1"/>
    <col min="11286" max="11286" width="10.5703125" style="1" customWidth="1"/>
    <col min="11287" max="11287" width="9.28515625" style="1" customWidth="1"/>
    <col min="11288" max="11288" width="8.5703125" style="1" customWidth="1"/>
    <col min="11289" max="11523" width="9.140625" style="1"/>
    <col min="11524" max="11524" width="5.85546875" style="1" customWidth="1"/>
    <col min="11525" max="11525" width="25" style="1" customWidth="1"/>
    <col min="11526" max="11526" width="10" style="1" bestFit="1" customWidth="1"/>
    <col min="11527" max="11527" width="9.85546875" style="1" customWidth="1"/>
    <col min="11528" max="11528" width="10" style="1" bestFit="1" customWidth="1"/>
    <col min="11529" max="11529" width="9.85546875" style="1" customWidth="1"/>
    <col min="11530" max="11530" width="8.140625" style="1" customWidth="1"/>
    <col min="11531" max="11532" width="8.42578125" style="1" customWidth="1"/>
    <col min="11533" max="11534" width="9" style="1" customWidth="1"/>
    <col min="11535" max="11537" width="0" style="1" hidden="1" customWidth="1"/>
    <col min="11538" max="11538" width="9.85546875" style="1" customWidth="1"/>
    <col min="11539" max="11540" width="10.5703125" style="1" customWidth="1"/>
    <col min="11541" max="11541" width="10" style="1" customWidth="1"/>
    <col min="11542" max="11542" width="10.5703125" style="1" customWidth="1"/>
    <col min="11543" max="11543" width="9.28515625" style="1" customWidth="1"/>
    <col min="11544" max="11544" width="8.5703125" style="1" customWidth="1"/>
    <col min="11545" max="11779" width="9.140625" style="1"/>
    <col min="11780" max="11780" width="5.85546875" style="1" customWidth="1"/>
    <col min="11781" max="11781" width="25" style="1" customWidth="1"/>
    <col min="11782" max="11782" width="10" style="1" bestFit="1" customWidth="1"/>
    <col min="11783" max="11783" width="9.85546875" style="1" customWidth="1"/>
    <col min="11784" max="11784" width="10" style="1" bestFit="1" customWidth="1"/>
    <col min="11785" max="11785" width="9.85546875" style="1" customWidth="1"/>
    <col min="11786" max="11786" width="8.140625" style="1" customWidth="1"/>
    <col min="11787" max="11788" width="8.42578125" style="1" customWidth="1"/>
    <col min="11789" max="11790" width="9" style="1" customWidth="1"/>
    <col min="11791" max="11793" width="0" style="1" hidden="1" customWidth="1"/>
    <col min="11794" max="11794" width="9.85546875" style="1" customWidth="1"/>
    <col min="11795" max="11796" width="10.5703125" style="1" customWidth="1"/>
    <col min="11797" max="11797" width="10" style="1" customWidth="1"/>
    <col min="11798" max="11798" width="10.5703125" style="1" customWidth="1"/>
    <col min="11799" max="11799" width="9.28515625" style="1" customWidth="1"/>
    <col min="11800" max="11800" width="8.5703125" style="1" customWidth="1"/>
    <col min="11801" max="12035" width="9.140625" style="1"/>
    <col min="12036" max="12036" width="5.85546875" style="1" customWidth="1"/>
    <col min="12037" max="12037" width="25" style="1" customWidth="1"/>
    <col min="12038" max="12038" width="10" style="1" bestFit="1" customWidth="1"/>
    <col min="12039" max="12039" width="9.85546875" style="1" customWidth="1"/>
    <col min="12040" max="12040" width="10" style="1" bestFit="1" customWidth="1"/>
    <col min="12041" max="12041" width="9.85546875" style="1" customWidth="1"/>
    <col min="12042" max="12042" width="8.140625" style="1" customWidth="1"/>
    <col min="12043" max="12044" width="8.42578125" style="1" customWidth="1"/>
    <col min="12045" max="12046" width="9" style="1" customWidth="1"/>
    <col min="12047" max="12049" width="0" style="1" hidden="1" customWidth="1"/>
    <col min="12050" max="12050" width="9.85546875" style="1" customWidth="1"/>
    <col min="12051" max="12052" width="10.5703125" style="1" customWidth="1"/>
    <col min="12053" max="12053" width="10" style="1" customWidth="1"/>
    <col min="12054" max="12054" width="10.5703125" style="1" customWidth="1"/>
    <col min="12055" max="12055" width="9.28515625" style="1" customWidth="1"/>
    <col min="12056" max="12056" width="8.5703125" style="1" customWidth="1"/>
    <col min="12057" max="12291" width="9.140625" style="1"/>
    <col min="12292" max="12292" width="5.85546875" style="1" customWidth="1"/>
    <col min="12293" max="12293" width="25" style="1" customWidth="1"/>
    <col min="12294" max="12294" width="10" style="1" bestFit="1" customWidth="1"/>
    <col min="12295" max="12295" width="9.85546875" style="1" customWidth="1"/>
    <col min="12296" max="12296" width="10" style="1" bestFit="1" customWidth="1"/>
    <col min="12297" max="12297" width="9.85546875" style="1" customWidth="1"/>
    <col min="12298" max="12298" width="8.140625" style="1" customWidth="1"/>
    <col min="12299" max="12300" width="8.42578125" style="1" customWidth="1"/>
    <col min="12301" max="12302" width="9" style="1" customWidth="1"/>
    <col min="12303" max="12305" width="0" style="1" hidden="1" customWidth="1"/>
    <col min="12306" max="12306" width="9.85546875" style="1" customWidth="1"/>
    <col min="12307" max="12308" width="10.5703125" style="1" customWidth="1"/>
    <col min="12309" max="12309" width="10" style="1" customWidth="1"/>
    <col min="12310" max="12310" width="10.5703125" style="1" customWidth="1"/>
    <col min="12311" max="12311" width="9.28515625" style="1" customWidth="1"/>
    <col min="12312" max="12312" width="8.5703125" style="1" customWidth="1"/>
    <col min="12313" max="12547" width="9.140625" style="1"/>
    <col min="12548" max="12548" width="5.85546875" style="1" customWidth="1"/>
    <col min="12549" max="12549" width="25" style="1" customWidth="1"/>
    <col min="12550" max="12550" width="10" style="1" bestFit="1" customWidth="1"/>
    <col min="12551" max="12551" width="9.85546875" style="1" customWidth="1"/>
    <col min="12552" max="12552" width="10" style="1" bestFit="1" customWidth="1"/>
    <col min="12553" max="12553" width="9.85546875" style="1" customWidth="1"/>
    <col min="12554" max="12554" width="8.140625" style="1" customWidth="1"/>
    <col min="12555" max="12556" width="8.42578125" style="1" customWidth="1"/>
    <col min="12557" max="12558" width="9" style="1" customWidth="1"/>
    <col min="12559" max="12561" width="0" style="1" hidden="1" customWidth="1"/>
    <col min="12562" max="12562" width="9.85546875" style="1" customWidth="1"/>
    <col min="12563" max="12564" width="10.5703125" style="1" customWidth="1"/>
    <col min="12565" max="12565" width="10" style="1" customWidth="1"/>
    <col min="12566" max="12566" width="10.5703125" style="1" customWidth="1"/>
    <col min="12567" max="12567" width="9.28515625" style="1" customWidth="1"/>
    <col min="12568" max="12568" width="8.5703125" style="1" customWidth="1"/>
    <col min="12569" max="12803" width="9.140625" style="1"/>
    <col min="12804" max="12804" width="5.85546875" style="1" customWidth="1"/>
    <col min="12805" max="12805" width="25" style="1" customWidth="1"/>
    <col min="12806" max="12806" width="10" style="1" bestFit="1" customWidth="1"/>
    <col min="12807" max="12807" width="9.85546875" style="1" customWidth="1"/>
    <col min="12808" max="12808" width="10" style="1" bestFit="1" customWidth="1"/>
    <col min="12809" max="12809" width="9.85546875" style="1" customWidth="1"/>
    <col min="12810" max="12810" width="8.140625" style="1" customWidth="1"/>
    <col min="12811" max="12812" width="8.42578125" style="1" customWidth="1"/>
    <col min="12813" max="12814" width="9" style="1" customWidth="1"/>
    <col min="12815" max="12817" width="0" style="1" hidden="1" customWidth="1"/>
    <col min="12818" max="12818" width="9.85546875" style="1" customWidth="1"/>
    <col min="12819" max="12820" width="10.5703125" style="1" customWidth="1"/>
    <col min="12821" max="12821" width="10" style="1" customWidth="1"/>
    <col min="12822" max="12822" width="10.5703125" style="1" customWidth="1"/>
    <col min="12823" max="12823" width="9.28515625" style="1" customWidth="1"/>
    <col min="12824" max="12824" width="8.5703125" style="1" customWidth="1"/>
    <col min="12825" max="13059" width="9.140625" style="1"/>
    <col min="13060" max="13060" width="5.85546875" style="1" customWidth="1"/>
    <col min="13061" max="13061" width="25" style="1" customWidth="1"/>
    <col min="13062" max="13062" width="10" style="1" bestFit="1" customWidth="1"/>
    <col min="13063" max="13063" width="9.85546875" style="1" customWidth="1"/>
    <col min="13064" max="13064" width="10" style="1" bestFit="1" customWidth="1"/>
    <col min="13065" max="13065" width="9.85546875" style="1" customWidth="1"/>
    <col min="13066" max="13066" width="8.140625" style="1" customWidth="1"/>
    <col min="13067" max="13068" width="8.42578125" style="1" customWidth="1"/>
    <col min="13069" max="13070" width="9" style="1" customWidth="1"/>
    <col min="13071" max="13073" width="0" style="1" hidden="1" customWidth="1"/>
    <col min="13074" max="13074" width="9.85546875" style="1" customWidth="1"/>
    <col min="13075" max="13076" width="10.5703125" style="1" customWidth="1"/>
    <col min="13077" max="13077" width="10" style="1" customWidth="1"/>
    <col min="13078" max="13078" width="10.5703125" style="1" customWidth="1"/>
    <col min="13079" max="13079" width="9.28515625" style="1" customWidth="1"/>
    <col min="13080" max="13080" width="8.5703125" style="1" customWidth="1"/>
    <col min="13081" max="13315" width="9.140625" style="1"/>
    <col min="13316" max="13316" width="5.85546875" style="1" customWidth="1"/>
    <col min="13317" max="13317" width="25" style="1" customWidth="1"/>
    <col min="13318" max="13318" width="10" style="1" bestFit="1" customWidth="1"/>
    <col min="13319" max="13319" width="9.85546875" style="1" customWidth="1"/>
    <col min="13320" max="13320" width="10" style="1" bestFit="1" customWidth="1"/>
    <col min="13321" max="13321" width="9.85546875" style="1" customWidth="1"/>
    <col min="13322" max="13322" width="8.140625" style="1" customWidth="1"/>
    <col min="13323" max="13324" width="8.42578125" style="1" customWidth="1"/>
    <col min="13325" max="13326" width="9" style="1" customWidth="1"/>
    <col min="13327" max="13329" width="0" style="1" hidden="1" customWidth="1"/>
    <col min="13330" max="13330" width="9.85546875" style="1" customWidth="1"/>
    <col min="13331" max="13332" width="10.5703125" style="1" customWidth="1"/>
    <col min="13333" max="13333" width="10" style="1" customWidth="1"/>
    <col min="13334" max="13334" width="10.5703125" style="1" customWidth="1"/>
    <col min="13335" max="13335" width="9.28515625" style="1" customWidth="1"/>
    <col min="13336" max="13336" width="8.5703125" style="1" customWidth="1"/>
    <col min="13337" max="13571" width="9.140625" style="1"/>
    <col min="13572" max="13572" width="5.85546875" style="1" customWidth="1"/>
    <col min="13573" max="13573" width="25" style="1" customWidth="1"/>
    <col min="13574" max="13574" width="10" style="1" bestFit="1" customWidth="1"/>
    <col min="13575" max="13575" width="9.85546875" style="1" customWidth="1"/>
    <col min="13576" max="13576" width="10" style="1" bestFit="1" customWidth="1"/>
    <col min="13577" max="13577" width="9.85546875" style="1" customWidth="1"/>
    <col min="13578" max="13578" width="8.140625" style="1" customWidth="1"/>
    <col min="13579" max="13580" width="8.42578125" style="1" customWidth="1"/>
    <col min="13581" max="13582" width="9" style="1" customWidth="1"/>
    <col min="13583" max="13585" width="0" style="1" hidden="1" customWidth="1"/>
    <col min="13586" max="13586" width="9.85546875" style="1" customWidth="1"/>
    <col min="13587" max="13588" width="10.5703125" style="1" customWidth="1"/>
    <col min="13589" max="13589" width="10" style="1" customWidth="1"/>
    <col min="13590" max="13590" width="10.5703125" style="1" customWidth="1"/>
    <col min="13591" max="13591" width="9.28515625" style="1" customWidth="1"/>
    <col min="13592" max="13592" width="8.5703125" style="1" customWidth="1"/>
    <col min="13593" max="13827" width="9.140625" style="1"/>
    <col min="13828" max="13828" width="5.85546875" style="1" customWidth="1"/>
    <col min="13829" max="13829" width="25" style="1" customWidth="1"/>
    <col min="13830" max="13830" width="10" style="1" bestFit="1" customWidth="1"/>
    <col min="13831" max="13831" width="9.85546875" style="1" customWidth="1"/>
    <col min="13832" max="13832" width="10" style="1" bestFit="1" customWidth="1"/>
    <col min="13833" max="13833" width="9.85546875" style="1" customWidth="1"/>
    <col min="13834" max="13834" width="8.140625" style="1" customWidth="1"/>
    <col min="13835" max="13836" width="8.42578125" style="1" customWidth="1"/>
    <col min="13837" max="13838" width="9" style="1" customWidth="1"/>
    <col min="13839" max="13841" width="0" style="1" hidden="1" customWidth="1"/>
    <col min="13842" max="13842" width="9.85546875" style="1" customWidth="1"/>
    <col min="13843" max="13844" width="10.5703125" style="1" customWidth="1"/>
    <col min="13845" max="13845" width="10" style="1" customWidth="1"/>
    <col min="13846" max="13846" width="10.5703125" style="1" customWidth="1"/>
    <col min="13847" max="13847" width="9.28515625" style="1" customWidth="1"/>
    <col min="13848" max="13848" width="8.5703125" style="1" customWidth="1"/>
    <col min="13849" max="14083" width="9.140625" style="1"/>
    <col min="14084" max="14084" width="5.85546875" style="1" customWidth="1"/>
    <col min="14085" max="14085" width="25" style="1" customWidth="1"/>
    <col min="14086" max="14086" width="10" style="1" bestFit="1" customWidth="1"/>
    <col min="14087" max="14087" width="9.85546875" style="1" customWidth="1"/>
    <col min="14088" max="14088" width="10" style="1" bestFit="1" customWidth="1"/>
    <col min="14089" max="14089" width="9.85546875" style="1" customWidth="1"/>
    <col min="14090" max="14090" width="8.140625" style="1" customWidth="1"/>
    <col min="14091" max="14092" width="8.42578125" style="1" customWidth="1"/>
    <col min="14093" max="14094" width="9" style="1" customWidth="1"/>
    <col min="14095" max="14097" width="0" style="1" hidden="1" customWidth="1"/>
    <col min="14098" max="14098" width="9.85546875" style="1" customWidth="1"/>
    <col min="14099" max="14100" width="10.5703125" style="1" customWidth="1"/>
    <col min="14101" max="14101" width="10" style="1" customWidth="1"/>
    <col min="14102" max="14102" width="10.5703125" style="1" customWidth="1"/>
    <col min="14103" max="14103" width="9.28515625" style="1" customWidth="1"/>
    <col min="14104" max="14104" width="8.5703125" style="1" customWidth="1"/>
    <col min="14105" max="14339" width="9.140625" style="1"/>
    <col min="14340" max="14340" width="5.85546875" style="1" customWidth="1"/>
    <col min="14341" max="14341" width="25" style="1" customWidth="1"/>
    <col min="14342" max="14342" width="10" style="1" bestFit="1" customWidth="1"/>
    <col min="14343" max="14343" width="9.85546875" style="1" customWidth="1"/>
    <col min="14344" max="14344" width="10" style="1" bestFit="1" customWidth="1"/>
    <col min="14345" max="14345" width="9.85546875" style="1" customWidth="1"/>
    <col min="14346" max="14346" width="8.140625" style="1" customWidth="1"/>
    <col min="14347" max="14348" width="8.42578125" style="1" customWidth="1"/>
    <col min="14349" max="14350" width="9" style="1" customWidth="1"/>
    <col min="14351" max="14353" width="0" style="1" hidden="1" customWidth="1"/>
    <col min="14354" max="14354" width="9.85546875" style="1" customWidth="1"/>
    <col min="14355" max="14356" width="10.5703125" style="1" customWidth="1"/>
    <col min="14357" max="14357" width="10" style="1" customWidth="1"/>
    <col min="14358" max="14358" width="10.5703125" style="1" customWidth="1"/>
    <col min="14359" max="14359" width="9.28515625" style="1" customWidth="1"/>
    <col min="14360" max="14360" width="8.5703125" style="1" customWidth="1"/>
    <col min="14361" max="14595" width="9.140625" style="1"/>
    <col min="14596" max="14596" width="5.85546875" style="1" customWidth="1"/>
    <col min="14597" max="14597" width="25" style="1" customWidth="1"/>
    <col min="14598" max="14598" width="10" style="1" bestFit="1" customWidth="1"/>
    <col min="14599" max="14599" width="9.85546875" style="1" customWidth="1"/>
    <col min="14600" max="14600" width="10" style="1" bestFit="1" customWidth="1"/>
    <col min="14601" max="14601" width="9.85546875" style="1" customWidth="1"/>
    <col min="14602" max="14602" width="8.140625" style="1" customWidth="1"/>
    <col min="14603" max="14604" width="8.42578125" style="1" customWidth="1"/>
    <col min="14605" max="14606" width="9" style="1" customWidth="1"/>
    <col min="14607" max="14609" width="0" style="1" hidden="1" customWidth="1"/>
    <col min="14610" max="14610" width="9.85546875" style="1" customWidth="1"/>
    <col min="14611" max="14612" width="10.5703125" style="1" customWidth="1"/>
    <col min="14613" max="14613" width="10" style="1" customWidth="1"/>
    <col min="14614" max="14614" width="10.5703125" style="1" customWidth="1"/>
    <col min="14615" max="14615" width="9.28515625" style="1" customWidth="1"/>
    <col min="14616" max="14616" width="8.5703125" style="1" customWidth="1"/>
    <col min="14617" max="14851" width="9.140625" style="1"/>
    <col min="14852" max="14852" width="5.85546875" style="1" customWidth="1"/>
    <col min="14853" max="14853" width="25" style="1" customWidth="1"/>
    <col min="14854" max="14854" width="10" style="1" bestFit="1" customWidth="1"/>
    <col min="14855" max="14855" width="9.85546875" style="1" customWidth="1"/>
    <col min="14856" max="14856" width="10" style="1" bestFit="1" customWidth="1"/>
    <col min="14857" max="14857" width="9.85546875" style="1" customWidth="1"/>
    <col min="14858" max="14858" width="8.140625" style="1" customWidth="1"/>
    <col min="14859" max="14860" width="8.42578125" style="1" customWidth="1"/>
    <col min="14861" max="14862" width="9" style="1" customWidth="1"/>
    <col min="14863" max="14865" width="0" style="1" hidden="1" customWidth="1"/>
    <col min="14866" max="14866" width="9.85546875" style="1" customWidth="1"/>
    <col min="14867" max="14868" width="10.5703125" style="1" customWidth="1"/>
    <col min="14869" max="14869" width="10" style="1" customWidth="1"/>
    <col min="14870" max="14870" width="10.5703125" style="1" customWidth="1"/>
    <col min="14871" max="14871" width="9.28515625" style="1" customWidth="1"/>
    <col min="14872" max="14872" width="8.5703125" style="1" customWidth="1"/>
    <col min="14873" max="15107" width="9.140625" style="1"/>
    <col min="15108" max="15108" width="5.85546875" style="1" customWidth="1"/>
    <col min="15109" max="15109" width="25" style="1" customWidth="1"/>
    <col min="15110" max="15110" width="10" style="1" bestFit="1" customWidth="1"/>
    <col min="15111" max="15111" width="9.85546875" style="1" customWidth="1"/>
    <col min="15112" max="15112" width="10" style="1" bestFit="1" customWidth="1"/>
    <col min="15113" max="15113" width="9.85546875" style="1" customWidth="1"/>
    <col min="15114" max="15114" width="8.140625" style="1" customWidth="1"/>
    <col min="15115" max="15116" width="8.42578125" style="1" customWidth="1"/>
    <col min="15117" max="15118" width="9" style="1" customWidth="1"/>
    <col min="15119" max="15121" width="0" style="1" hidden="1" customWidth="1"/>
    <col min="15122" max="15122" width="9.85546875" style="1" customWidth="1"/>
    <col min="15123" max="15124" width="10.5703125" style="1" customWidth="1"/>
    <col min="15125" max="15125" width="10" style="1" customWidth="1"/>
    <col min="15126" max="15126" width="10.5703125" style="1" customWidth="1"/>
    <col min="15127" max="15127" width="9.28515625" style="1" customWidth="1"/>
    <col min="15128" max="15128" width="8.5703125" style="1" customWidth="1"/>
    <col min="15129" max="15363" width="9.140625" style="1"/>
    <col min="15364" max="15364" width="5.85546875" style="1" customWidth="1"/>
    <col min="15365" max="15365" width="25" style="1" customWidth="1"/>
    <col min="15366" max="15366" width="10" style="1" bestFit="1" customWidth="1"/>
    <col min="15367" max="15367" width="9.85546875" style="1" customWidth="1"/>
    <col min="15368" max="15368" width="10" style="1" bestFit="1" customWidth="1"/>
    <col min="15369" max="15369" width="9.85546875" style="1" customWidth="1"/>
    <col min="15370" max="15370" width="8.140625" style="1" customWidth="1"/>
    <col min="15371" max="15372" width="8.42578125" style="1" customWidth="1"/>
    <col min="15373" max="15374" width="9" style="1" customWidth="1"/>
    <col min="15375" max="15377" width="0" style="1" hidden="1" customWidth="1"/>
    <col min="15378" max="15378" width="9.85546875" style="1" customWidth="1"/>
    <col min="15379" max="15380" width="10.5703125" style="1" customWidth="1"/>
    <col min="15381" max="15381" width="10" style="1" customWidth="1"/>
    <col min="15382" max="15382" width="10.5703125" style="1" customWidth="1"/>
    <col min="15383" max="15383" width="9.28515625" style="1" customWidth="1"/>
    <col min="15384" max="15384" width="8.5703125" style="1" customWidth="1"/>
    <col min="15385" max="15619" width="9.140625" style="1"/>
    <col min="15620" max="15620" width="5.85546875" style="1" customWidth="1"/>
    <col min="15621" max="15621" width="25" style="1" customWidth="1"/>
    <col min="15622" max="15622" width="10" style="1" bestFit="1" customWidth="1"/>
    <col min="15623" max="15623" width="9.85546875" style="1" customWidth="1"/>
    <col min="15624" max="15624" width="10" style="1" bestFit="1" customWidth="1"/>
    <col min="15625" max="15625" width="9.85546875" style="1" customWidth="1"/>
    <col min="15626" max="15626" width="8.140625" style="1" customWidth="1"/>
    <col min="15627" max="15628" width="8.42578125" style="1" customWidth="1"/>
    <col min="15629" max="15630" width="9" style="1" customWidth="1"/>
    <col min="15631" max="15633" width="0" style="1" hidden="1" customWidth="1"/>
    <col min="15634" max="15634" width="9.85546875" style="1" customWidth="1"/>
    <col min="15635" max="15636" width="10.5703125" style="1" customWidth="1"/>
    <col min="15637" max="15637" width="10" style="1" customWidth="1"/>
    <col min="15638" max="15638" width="10.5703125" style="1" customWidth="1"/>
    <col min="15639" max="15639" width="9.28515625" style="1" customWidth="1"/>
    <col min="15640" max="15640" width="8.5703125" style="1" customWidth="1"/>
    <col min="15641" max="15875" width="9.140625" style="1"/>
    <col min="15876" max="15876" width="5.85546875" style="1" customWidth="1"/>
    <col min="15877" max="15877" width="25" style="1" customWidth="1"/>
    <col min="15878" max="15878" width="10" style="1" bestFit="1" customWidth="1"/>
    <col min="15879" max="15879" width="9.85546875" style="1" customWidth="1"/>
    <col min="15880" max="15880" width="10" style="1" bestFit="1" customWidth="1"/>
    <col min="15881" max="15881" width="9.85546875" style="1" customWidth="1"/>
    <col min="15882" max="15882" width="8.140625" style="1" customWidth="1"/>
    <col min="15883" max="15884" width="8.42578125" style="1" customWidth="1"/>
    <col min="15885" max="15886" width="9" style="1" customWidth="1"/>
    <col min="15887" max="15889" width="0" style="1" hidden="1" customWidth="1"/>
    <col min="15890" max="15890" width="9.85546875" style="1" customWidth="1"/>
    <col min="15891" max="15892" width="10.5703125" style="1" customWidth="1"/>
    <col min="15893" max="15893" width="10" style="1" customWidth="1"/>
    <col min="15894" max="15894" width="10.5703125" style="1" customWidth="1"/>
    <col min="15895" max="15895" width="9.28515625" style="1" customWidth="1"/>
    <col min="15896" max="15896" width="8.5703125" style="1" customWidth="1"/>
    <col min="15897" max="16131" width="9.140625" style="1"/>
    <col min="16132" max="16132" width="5.85546875" style="1" customWidth="1"/>
    <col min="16133" max="16133" width="25" style="1" customWidth="1"/>
    <col min="16134" max="16134" width="10" style="1" bestFit="1" customWidth="1"/>
    <col min="16135" max="16135" width="9.85546875" style="1" customWidth="1"/>
    <col min="16136" max="16136" width="10" style="1" bestFit="1" customWidth="1"/>
    <col min="16137" max="16137" width="9.85546875" style="1" customWidth="1"/>
    <col min="16138" max="16138" width="8.140625" style="1" customWidth="1"/>
    <col min="16139" max="16140" width="8.42578125" style="1" customWidth="1"/>
    <col min="16141" max="16142" width="9" style="1" customWidth="1"/>
    <col min="16143" max="16145" width="0" style="1" hidden="1" customWidth="1"/>
    <col min="16146" max="16146" width="9.85546875" style="1" customWidth="1"/>
    <col min="16147" max="16148" width="10.5703125" style="1" customWidth="1"/>
    <col min="16149" max="16149" width="10" style="1" customWidth="1"/>
    <col min="16150" max="16150" width="10.5703125" style="1" customWidth="1"/>
    <col min="16151" max="16151" width="9.28515625" style="1" customWidth="1"/>
    <col min="16152" max="16152" width="8.5703125" style="1" customWidth="1"/>
    <col min="16153" max="16384" width="9.140625" style="1"/>
  </cols>
  <sheetData>
    <row r="1" spans="1:24" ht="11.25" hidden="1" customHeight="1" x14ac:dyDescent="0.2">
      <c r="A1" s="1" t="s">
        <v>0</v>
      </c>
    </row>
    <row r="2" spans="1:24" ht="11.25" hidden="1" customHeight="1" x14ac:dyDescent="0.2">
      <c r="A2" s="9" t="s">
        <v>1</v>
      </c>
      <c r="B2" s="9"/>
    </row>
    <row r="3" spans="1:24" ht="14.25" hidden="1" customHeight="1" x14ac:dyDescent="0.2">
      <c r="A3" s="286"/>
      <c r="B3" s="287" t="s">
        <v>76</v>
      </c>
      <c r="C3" s="288"/>
      <c r="D3" s="289"/>
      <c r="E3" s="291" t="e">
        <f>#REF!+#REF!</f>
        <v>#REF!</v>
      </c>
      <c r="F3" s="292"/>
      <c r="G3" s="291" t="e">
        <f>#REF!+#REF!</f>
        <v>#REF!</v>
      </c>
      <c r="H3" s="292"/>
      <c r="I3" s="292"/>
      <c r="J3" s="292"/>
      <c r="K3" s="292"/>
      <c r="L3" s="292"/>
      <c r="M3" s="293" t="e">
        <f>#REF!+#REF!</f>
        <v>#REF!</v>
      </c>
      <c r="N3" s="294"/>
      <c r="O3" s="292" t="e">
        <f>#REF!-100000</f>
        <v>#REF!</v>
      </c>
      <c r="P3" s="288" t="e">
        <f>#REF!-100000</f>
        <v>#REF!</v>
      </c>
      <c r="Q3" s="288"/>
      <c r="R3" s="295" t="e">
        <f>SUM(#REF!)</f>
        <v>#REF!</v>
      </c>
      <c r="S3" s="289"/>
      <c r="T3" s="289"/>
      <c r="U3" s="289"/>
      <c r="V3" s="289"/>
      <c r="W3" s="289"/>
      <c r="X3" s="289"/>
    </row>
    <row r="4" spans="1:24" ht="12" hidden="1" customHeight="1" thickBot="1" x14ac:dyDescent="0.25">
      <c r="A4" s="296"/>
      <c r="B4" s="297" t="s">
        <v>77</v>
      </c>
      <c r="C4" s="83">
        <v>7963147</v>
      </c>
      <c r="D4" s="89"/>
      <c r="E4" s="298">
        <v>0</v>
      </c>
      <c r="F4" s="79"/>
      <c r="G4" s="298">
        <v>0</v>
      </c>
      <c r="H4" s="79"/>
      <c r="I4" s="79"/>
      <c r="J4" s="79"/>
      <c r="K4" s="79"/>
      <c r="L4" s="79"/>
      <c r="M4" s="299">
        <v>8019425</v>
      </c>
      <c r="N4" s="299"/>
      <c r="O4" s="299">
        <v>8610725</v>
      </c>
      <c r="P4" s="299">
        <v>7675155</v>
      </c>
      <c r="Q4" s="299"/>
      <c r="R4" s="300" t="e">
        <f>#REF!+R3</f>
        <v>#REF!</v>
      </c>
      <c r="S4" s="89"/>
      <c r="T4" s="89"/>
      <c r="U4" s="89"/>
      <c r="V4" s="89"/>
      <c r="W4" s="89"/>
      <c r="X4" s="89"/>
    </row>
    <row r="5" spans="1:24" ht="12" hidden="1" customHeight="1" thickBot="1" x14ac:dyDescent="0.25">
      <c r="A5" s="296"/>
      <c r="B5" s="297" t="s">
        <v>78</v>
      </c>
      <c r="C5" s="83">
        <f>C3-C4</f>
        <v>-7963147</v>
      </c>
      <c r="D5" s="89"/>
      <c r="E5" s="301" t="e">
        <f t="shared" ref="E5" si="0">E3+E4</f>
        <v>#REF!</v>
      </c>
      <c r="F5" s="79"/>
      <c r="G5" s="301" t="e">
        <f t="shared" ref="G5" si="1">G3+G4</f>
        <v>#REF!</v>
      </c>
      <c r="H5" s="79"/>
      <c r="I5" s="79"/>
      <c r="J5" s="79"/>
      <c r="K5" s="79"/>
      <c r="L5" s="79"/>
      <c r="M5" s="299" t="e">
        <f>M3-M4</f>
        <v>#REF!</v>
      </c>
      <c r="N5" s="299"/>
      <c r="O5" s="299" t="e">
        <f>O3-O4</f>
        <v>#REF!</v>
      </c>
      <c r="P5" s="299" t="e">
        <f>P3-P4</f>
        <v>#REF!</v>
      </c>
      <c r="Q5" s="299"/>
      <c r="R5" s="89"/>
      <c r="S5" s="89"/>
      <c r="T5" s="89"/>
      <c r="U5" s="89"/>
      <c r="V5" s="89"/>
      <c r="W5" s="89"/>
      <c r="X5" s="89"/>
    </row>
    <row r="6" spans="1:24" ht="11.25" hidden="1" customHeight="1" x14ac:dyDescent="0.2">
      <c r="A6" s="296"/>
      <c r="B6" s="302" t="s">
        <v>79</v>
      </c>
      <c r="C6" s="83"/>
      <c r="D6" s="89"/>
      <c r="E6" s="299"/>
      <c r="F6" s="79"/>
      <c r="G6" s="299"/>
      <c r="H6" s="79"/>
      <c r="I6" s="79" t="e">
        <f>#REF!/12</f>
        <v>#REF!</v>
      </c>
      <c r="J6" s="79"/>
      <c r="K6" s="79"/>
      <c r="L6" s="79"/>
      <c r="M6" s="299"/>
      <c r="N6" s="299"/>
      <c r="O6" s="299"/>
      <c r="P6" s="299"/>
      <c r="Q6" s="299"/>
      <c r="R6" s="89"/>
      <c r="S6" s="89"/>
      <c r="T6" s="89"/>
      <c r="U6" s="89"/>
      <c r="V6" s="89"/>
      <c r="W6" s="89"/>
      <c r="X6" s="89"/>
    </row>
    <row r="7" spans="1:24" ht="11.25" hidden="1" customHeight="1" x14ac:dyDescent="0.2">
      <c r="A7" s="296"/>
      <c r="B7" s="296" t="s">
        <v>80</v>
      </c>
      <c r="C7" s="65"/>
      <c r="D7" s="71"/>
      <c r="E7" s="303" t="e">
        <f>#REF!*0.57</f>
        <v>#REF!</v>
      </c>
      <c r="F7" s="62"/>
      <c r="G7" s="303" t="e">
        <f>#REF!*0.57</f>
        <v>#REF!</v>
      </c>
      <c r="H7" s="62"/>
      <c r="I7" s="62"/>
      <c r="J7" s="62"/>
      <c r="K7" s="62"/>
      <c r="L7" s="62"/>
      <c r="M7" s="304" t="e">
        <f>#REF!*0.57</f>
        <v>#REF!</v>
      </c>
      <c r="N7" s="64"/>
      <c r="O7" s="62"/>
      <c r="P7" s="305"/>
      <c r="Q7" s="305"/>
      <c r="R7" s="71"/>
      <c r="S7" s="71"/>
      <c r="T7" s="71"/>
      <c r="U7" s="71"/>
      <c r="V7" s="71"/>
      <c r="W7" s="71"/>
      <c r="X7" s="71"/>
    </row>
    <row r="8" spans="1:24" ht="11.25" hidden="1" customHeight="1" x14ac:dyDescent="0.2">
      <c r="A8" s="296"/>
      <c r="B8" s="296" t="s">
        <v>81</v>
      </c>
      <c r="C8" s="65"/>
      <c r="D8" s="71"/>
      <c r="E8" s="303" t="e">
        <f>#REF!*0.23</f>
        <v>#REF!</v>
      </c>
      <c r="F8" s="62"/>
      <c r="G8" s="303" t="e">
        <f>#REF!*0.23</f>
        <v>#REF!</v>
      </c>
      <c r="H8" s="62"/>
      <c r="I8" s="62"/>
      <c r="J8" s="62"/>
      <c r="K8" s="62"/>
      <c r="L8" s="62"/>
      <c r="M8" s="304" t="e">
        <f>#REF!*0.23</f>
        <v>#REF!</v>
      </c>
      <c r="N8" s="64"/>
      <c r="O8" s="62"/>
      <c r="P8" s="305"/>
      <c r="Q8" s="305"/>
      <c r="R8" s="71"/>
      <c r="S8" s="71"/>
      <c r="T8" s="71"/>
      <c r="U8" s="71"/>
      <c r="V8" s="71"/>
      <c r="W8" s="71"/>
      <c r="X8" s="71"/>
    </row>
    <row r="9" spans="1:24" ht="11.25" hidden="1" customHeight="1" x14ac:dyDescent="0.2">
      <c r="A9" s="296"/>
      <c r="B9" s="296" t="s">
        <v>82</v>
      </c>
      <c r="C9" s="65"/>
      <c r="D9" s="71"/>
      <c r="E9" s="303" t="e">
        <f>#REF!*0.14</f>
        <v>#REF!</v>
      </c>
      <c r="F9" s="62"/>
      <c r="G9" s="303" t="e">
        <f>#REF!*0.14</f>
        <v>#REF!</v>
      </c>
      <c r="H9" s="62"/>
      <c r="I9" s="62"/>
      <c r="J9" s="62"/>
      <c r="K9" s="62"/>
      <c r="L9" s="62"/>
      <c r="M9" s="304" t="e">
        <f>#REF!*0.14</f>
        <v>#REF!</v>
      </c>
      <c r="N9" s="64"/>
      <c r="O9" s="62"/>
      <c r="P9" s="305"/>
      <c r="Q9" s="305"/>
      <c r="R9" s="71"/>
      <c r="S9" s="71"/>
      <c r="T9" s="71"/>
      <c r="U9" s="71"/>
      <c r="V9" s="71"/>
      <c r="W9" s="71"/>
      <c r="X9" s="71"/>
    </row>
    <row r="10" spans="1:24" ht="11.25" hidden="1" customHeight="1" x14ac:dyDescent="0.2">
      <c r="A10" s="296"/>
      <c r="B10" s="296" t="s">
        <v>83</v>
      </c>
      <c r="C10" s="65"/>
      <c r="D10" s="71"/>
      <c r="E10" s="303" t="e">
        <f>#REF!*0.06</f>
        <v>#REF!</v>
      </c>
      <c r="F10" s="62"/>
      <c r="G10" s="303" t="e">
        <f>#REF!*0.06</f>
        <v>#REF!</v>
      </c>
      <c r="H10" s="62"/>
      <c r="I10" s="62"/>
      <c r="J10" s="62"/>
      <c r="K10" s="62"/>
      <c r="L10" s="62"/>
      <c r="M10" s="304" t="e">
        <f>#REF!*0.06</f>
        <v>#REF!</v>
      </c>
      <c r="N10" s="64"/>
      <c r="O10" s="62"/>
      <c r="P10" s="305"/>
      <c r="Q10" s="305"/>
      <c r="R10" s="71"/>
      <c r="S10" s="71"/>
      <c r="T10" s="71"/>
      <c r="U10" s="71"/>
      <c r="V10" s="71"/>
      <c r="W10" s="71"/>
      <c r="X10" s="71"/>
    </row>
    <row r="11" spans="1:24" ht="11.25" hidden="1" customHeight="1" x14ac:dyDescent="0.2">
      <c r="A11" s="296"/>
      <c r="B11" s="306" t="s">
        <v>84</v>
      </c>
      <c r="C11" s="83"/>
      <c r="D11" s="71"/>
      <c r="E11" s="307" t="e">
        <f>SUM(E7:E10)</f>
        <v>#REF!</v>
      </c>
      <c r="F11" s="79"/>
      <c r="G11" s="307" t="e">
        <f>SUM(G7:G10)</f>
        <v>#REF!</v>
      </c>
      <c r="H11" s="79"/>
      <c r="I11" s="79"/>
      <c r="J11" s="79"/>
      <c r="K11" s="79"/>
      <c r="L11" s="79"/>
      <c r="M11" s="308" t="e">
        <f>SUM(M7:M10)</f>
        <v>#REF!</v>
      </c>
      <c r="N11" s="64"/>
      <c r="O11" s="62"/>
      <c r="P11" s="305"/>
      <c r="Q11" s="305"/>
      <c r="R11" s="71"/>
      <c r="S11" s="71"/>
      <c r="T11" s="71"/>
      <c r="U11" s="71"/>
      <c r="V11" s="71"/>
      <c r="W11" s="71"/>
      <c r="X11" s="71"/>
    </row>
    <row r="12" spans="1:24" ht="11.25" hidden="1" customHeight="1" x14ac:dyDescent="0.2">
      <c r="A12" s="296"/>
      <c r="B12" s="296" t="s">
        <v>85</v>
      </c>
      <c r="C12" s="65"/>
      <c r="D12" s="71"/>
      <c r="E12" s="303" t="e">
        <f>E11-E7</f>
        <v>#REF!</v>
      </c>
      <c r="F12" s="62"/>
      <c r="G12" s="303" t="e">
        <f>G11-G7</f>
        <v>#REF!</v>
      </c>
      <c r="H12" s="62"/>
      <c r="I12" s="62"/>
      <c r="J12" s="62"/>
      <c r="K12" s="62"/>
      <c r="L12" s="62"/>
      <c r="M12" s="304" t="e">
        <f>M11-M7</f>
        <v>#REF!</v>
      </c>
      <c r="N12" s="64"/>
      <c r="O12" s="62"/>
      <c r="P12" s="305"/>
      <c r="Q12" s="305"/>
      <c r="R12" s="71"/>
      <c r="S12" s="71"/>
      <c r="T12" s="71"/>
      <c r="U12" s="71"/>
      <c r="V12" s="71"/>
      <c r="W12" s="71"/>
      <c r="X12" s="71"/>
    </row>
    <row r="13" spans="1:24" ht="11.25" hidden="1" customHeight="1" x14ac:dyDescent="0.2">
      <c r="A13" s="296"/>
      <c r="B13" s="296"/>
      <c r="C13" s="65"/>
      <c r="D13" s="71"/>
      <c r="E13" s="303"/>
      <c r="F13" s="62"/>
      <c r="G13" s="303"/>
      <c r="H13" s="62"/>
      <c r="I13" s="62"/>
      <c r="J13" s="62"/>
      <c r="K13" s="62"/>
      <c r="L13" s="62"/>
      <c r="M13" s="304"/>
      <c r="N13" s="64"/>
      <c r="O13" s="62"/>
      <c r="P13" s="305"/>
      <c r="Q13" s="305"/>
      <c r="R13" s="309" t="s">
        <v>86</v>
      </c>
      <c r="S13" s="71"/>
      <c r="T13" s="71"/>
      <c r="U13" s="71"/>
      <c r="V13" s="71"/>
      <c r="W13" s="71"/>
      <c r="X13" s="71"/>
    </row>
    <row r="14" spans="1:24" ht="46.5" hidden="1" customHeight="1" x14ac:dyDescent="0.2">
      <c r="A14" s="310"/>
      <c r="B14" s="311" t="s">
        <v>6</v>
      </c>
      <c r="C14" s="312" t="s">
        <v>87</v>
      </c>
      <c r="D14" s="313"/>
      <c r="E14" s="313" t="s">
        <v>88</v>
      </c>
      <c r="F14" s="314" t="s">
        <v>89</v>
      </c>
      <c r="G14" s="313" t="s">
        <v>88</v>
      </c>
      <c r="H14" s="314" t="s">
        <v>89</v>
      </c>
      <c r="I14" s="314" t="s">
        <v>84</v>
      </c>
      <c r="J14" s="314" t="s">
        <v>90</v>
      </c>
      <c r="K14" s="314"/>
      <c r="L14" s="314" t="s">
        <v>78</v>
      </c>
      <c r="M14" s="315"/>
      <c r="N14" s="316"/>
      <c r="O14" s="314"/>
      <c r="P14" s="314"/>
      <c r="Q14" s="314"/>
      <c r="R14" s="317" t="s">
        <v>91</v>
      </c>
      <c r="S14" s="313"/>
      <c r="T14" s="313"/>
      <c r="U14" s="313"/>
      <c r="V14" s="313"/>
      <c r="W14" s="313"/>
      <c r="X14" s="313"/>
    </row>
    <row r="15" spans="1:24" ht="15" hidden="1" customHeight="1" x14ac:dyDescent="0.2">
      <c r="A15" s="318">
        <v>1</v>
      </c>
      <c r="B15" s="311">
        <v>2</v>
      </c>
      <c r="C15" s="319" t="s">
        <v>92</v>
      </c>
      <c r="D15" s="320"/>
      <c r="E15" s="320"/>
      <c r="F15" s="46" t="s">
        <v>93</v>
      </c>
      <c r="G15" s="320"/>
      <c r="H15" s="46" t="s">
        <v>93</v>
      </c>
      <c r="I15" s="46" t="s">
        <v>94</v>
      </c>
      <c r="J15" s="46" t="s">
        <v>95</v>
      </c>
      <c r="K15" s="46"/>
      <c r="L15" s="46" t="s">
        <v>96</v>
      </c>
      <c r="M15" s="321"/>
      <c r="N15" s="48"/>
      <c r="O15" s="46"/>
      <c r="P15" s="49"/>
      <c r="Q15" s="49"/>
      <c r="R15" s="317" t="s">
        <v>97</v>
      </c>
      <c r="S15" s="320"/>
      <c r="T15" s="320"/>
      <c r="U15" s="320"/>
      <c r="V15" s="320"/>
      <c r="W15" s="320"/>
      <c r="X15" s="320"/>
    </row>
    <row r="16" spans="1:24" ht="12.2" hidden="1" customHeight="1" x14ac:dyDescent="0.2">
      <c r="A16" s="322">
        <v>3111</v>
      </c>
      <c r="B16" s="323" t="s">
        <v>25</v>
      </c>
      <c r="C16" s="324">
        <v>4787693.96</v>
      </c>
      <c r="D16" s="71"/>
      <c r="E16" s="71">
        <v>3657295.3</v>
      </c>
      <c r="F16" s="62">
        <v>420000</v>
      </c>
      <c r="G16" s="71">
        <v>3657295.3</v>
      </c>
      <c r="H16" s="62">
        <v>420000</v>
      </c>
      <c r="I16" s="62">
        <f>H16*3</f>
        <v>1260000</v>
      </c>
      <c r="J16" s="62">
        <f>G16+I16</f>
        <v>4917295.3</v>
      </c>
      <c r="K16" s="62"/>
      <c r="L16" s="62" t="e">
        <f>J16-#REF!</f>
        <v>#REF!</v>
      </c>
      <c r="M16" s="304"/>
      <c r="N16" s="62"/>
      <c r="O16" s="62"/>
      <c r="P16" s="65"/>
      <c r="Q16" s="65"/>
      <c r="R16" s="317" t="s">
        <v>98</v>
      </c>
      <c r="S16" s="71"/>
      <c r="T16" s="71"/>
      <c r="U16" s="71"/>
      <c r="V16" s="71"/>
      <c r="W16" s="71"/>
      <c r="X16" s="71"/>
    </row>
    <row r="17" spans="1:24" ht="12.2" hidden="1" customHeight="1" x14ac:dyDescent="0.2">
      <c r="A17" s="325">
        <v>311</v>
      </c>
      <c r="B17" s="326" t="s">
        <v>26</v>
      </c>
      <c r="C17" s="327">
        <f t="shared" ref="C17" si="2">C16</f>
        <v>4787693.96</v>
      </c>
      <c r="D17" s="89"/>
      <c r="E17" s="89">
        <f>E16</f>
        <v>3657295.3</v>
      </c>
      <c r="F17" s="79">
        <f t="shared" ref="F17" si="3">F16</f>
        <v>420000</v>
      </c>
      <c r="G17" s="89">
        <f>G16</f>
        <v>3657295.3</v>
      </c>
      <c r="H17" s="79">
        <f t="shared" ref="H17:L17" si="4">H16</f>
        <v>420000</v>
      </c>
      <c r="I17" s="79">
        <f t="shared" si="4"/>
        <v>1260000</v>
      </c>
      <c r="J17" s="79">
        <f t="shared" si="4"/>
        <v>4917295.3</v>
      </c>
      <c r="K17" s="79"/>
      <c r="L17" s="79" t="e">
        <f t="shared" si="4"/>
        <v>#REF!</v>
      </c>
      <c r="M17" s="308"/>
      <c r="N17" s="82"/>
      <c r="O17" s="82"/>
      <c r="P17" s="83"/>
      <c r="Q17" s="83"/>
      <c r="R17" s="317" t="s">
        <v>99</v>
      </c>
      <c r="S17" s="89"/>
      <c r="T17" s="89"/>
      <c r="U17" s="89"/>
      <c r="V17" s="89"/>
      <c r="W17" s="89"/>
      <c r="X17" s="89"/>
    </row>
    <row r="18" spans="1:24" ht="12.2" hidden="1" customHeight="1" x14ac:dyDescent="0.2">
      <c r="A18" s="322">
        <v>3131</v>
      </c>
      <c r="B18" s="323" t="s">
        <v>27</v>
      </c>
      <c r="C18" s="324">
        <v>373935.75</v>
      </c>
      <c r="D18" s="71"/>
      <c r="E18" s="71">
        <v>285534.3</v>
      </c>
      <c r="F18" s="62">
        <f>F16*7.84/100</f>
        <v>32928</v>
      </c>
      <c r="G18" s="71">
        <v>285534.3</v>
      </c>
      <c r="H18" s="62">
        <f>H16*7.84/100</f>
        <v>32928</v>
      </c>
      <c r="I18" s="62">
        <f>H18*3</f>
        <v>98784</v>
      </c>
      <c r="J18" s="62">
        <f>G18+I18</f>
        <v>384318.3</v>
      </c>
      <c r="K18" s="62"/>
      <c r="L18" s="62" t="e">
        <f>J18-#REF!</f>
        <v>#REF!</v>
      </c>
      <c r="M18" s="304"/>
      <c r="N18" s="62"/>
      <c r="O18" s="62"/>
      <c r="P18" s="65"/>
      <c r="Q18" s="65"/>
      <c r="R18" s="317" t="s">
        <v>100</v>
      </c>
      <c r="S18" s="71"/>
      <c r="T18" s="71"/>
      <c r="U18" s="71"/>
      <c r="V18" s="71"/>
      <c r="W18" s="71"/>
      <c r="X18" s="71"/>
    </row>
    <row r="19" spans="1:24" ht="12.2" hidden="1" customHeight="1" x14ac:dyDescent="0.2">
      <c r="A19" s="322">
        <v>3132</v>
      </c>
      <c r="B19" s="328" t="s">
        <v>28</v>
      </c>
      <c r="C19" s="324">
        <v>742445</v>
      </c>
      <c r="D19" s="71"/>
      <c r="E19" s="71">
        <v>548594.37</v>
      </c>
      <c r="F19" s="62">
        <f>F16*15.5/100</f>
        <v>65100</v>
      </c>
      <c r="G19" s="71">
        <v>548594.37</v>
      </c>
      <c r="H19" s="62">
        <f>H16*15.5/100</f>
        <v>65100</v>
      </c>
      <c r="I19" s="62">
        <f>H19*3</f>
        <v>195300</v>
      </c>
      <c r="J19" s="62">
        <f>G19+I19</f>
        <v>743894.37</v>
      </c>
      <c r="K19" s="62"/>
      <c r="L19" s="62" t="e">
        <f>J19-#REF!</f>
        <v>#REF!</v>
      </c>
      <c r="M19" s="304"/>
      <c r="N19" s="62"/>
      <c r="O19" s="62"/>
      <c r="P19" s="65"/>
      <c r="Q19" s="65"/>
      <c r="R19" s="317" t="s">
        <v>101</v>
      </c>
      <c r="S19" s="71"/>
      <c r="T19" s="71"/>
      <c r="U19" s="71"/>
      <c r="V19" s="71"/>
      <c r="W19" s="71"/>
      <c r="X19" s="71"/>
    </row>
    <row r="20" spans="1:24" ht="12.2" hidden="1" customHeight="1" x14ac:dyDescent="0.2">
      <c r="A20" s="322">
        <v>3133</v>
      </c>
      <c r="B20" s="323" t="s">
        <v>29</v>
      </c>
      <c r="C20" s="324">
        <v>81830.100000000006</v>
      </c>
      <c r="D20" s="71"/>
      <c r="E20" s="71">
        <v>62174</v>
      </c>
      <c r="F20" s="62">
        <f>F16*1.7/100</f>
        <v>7140</v>
      </c>
      <c r="G20" s="71">
        <v>62174</v>
      </c>
      <c r="H20" s="62">
        <f>H16*1.7/100</f>
        <v>7140</v>
      </c>
      <c r="I20" s="62">
        <f>H20*3</f>
        <v>21420</v>
      </c>
      <c r="J20" s="62">
        <f>G20+I20</f>
        <v>83594</v>
      </c>
      <c r="K20" s="62"/>
      <c r="L20" s="62" t="e">
        <f>J20-#REF!</f>
        <v>#REF!</v>
      </c>
      <c r="M20" s="304"/>
      <c r="N20" s="62"/>
      <c r="O20" s="62"/>
      <c r="P20" s="65"/>
      <c r="Q20" s="65"/>
      <c r="R20" s="317" t="s">
        <v>102</v>
      </c>
      <c r="S20" s="71"/>
      <c r="T20" s="71"/>
      <c r="U20" s="71"/>
      <c r="V20" s="71"/>
      <c r="W20" s="71"/>
      <c r="X20" s="71"/>
    </row>
    <row r="21" spans="1:24" ht="12.2" hidden="1" customHeight="1" x14ac:dyDescent="0.2">
      <c r="A21" s="325">
        <v>313</v>
      </c>
      <c r="B21" s="326" t="s">
        <v>30</v>
      </c>
      <c r="C21" s="327">
        <f t="shared" ref="C21" si="5">SUM(C18:C20)</f>
        <v>1198210.8500000001</v>
      </c>
      <c r="D21" s="89"/>
      <c r="E21" s="89">
        <f>SUM(E18:E20)</f>
        <v>896302.66999999993</v>
      </c>
      <c r="F21" s="79">
        <f t="shared" ref="F21" si="6">SUM(F18:F20)</f>
        <v>105168</v>
      </c>
      <c r="G21" s="89">
        <f>SUM(G18:G20)</f>
        <v>896302.66999999993</v>
      </c>
      <c r="H21" s="79">
        <f t="shared" ref="H21:L21" si="7">SUM(H18:H20)</f>
        <v>105168</v>
      </c>
      <c r="I21" s="79">
        <f t="shared" si="7"/>
        <v>315504</v>
      </c>
      <c r="J21" s="79">
        <f t="shared" si="7"/>
        <v>1211806.67</v>
      </c>
      <c r="K21" s="79"/>
      <c r="L21" s="79" t="e">
        <f t="shared" si="7"/>
        <v>#REF!</v>
      </c>
      <c r="M21" s="308"/>
      <c r="N21" s="81"/>
      <c r="O21" s="82"/>
      <c r="P21" s="83"/>
      <c r="Q21" s="83"/>
      <c r="R21" s="317" t="s">
        <v>103</v>
      </c>
      <c r="S21" s="89"/>
      <c r="T21" s="89"/>
      <c r="U21" s="89"/>
      <c r="V21" s="89"/>
      <c r="W21" s="89"/>
      <c r="X21" s="89"/>
    </row>
    <row r="22" spans="1:24" ht="12.2" hidden="1" customHeight="1" x14ac:dyDescent="0.2">
      <c r="A22" s="322">
        <v>3121</v>
      </c>
      <c r="B22" s="328" t="s">
        <v>31</v>
      </c>
      <c r="C22" s="324">
        <v>296393.5</v>
      </c>
      <c r="D22" s="71"/>
      <c r="E22" s="71">
        <v>204493.61</v>
      </c>
      <c r="F22" s="62">
        <v>0</v>
      </c>
      <c r="G22" s="71">
        <v>204493.61</v>
      </c>
      <c r="H22" s="62">
        <v>0</v>
      </c>
      <c r="I22" s="62">
        <v>175506</v>
      </c>
      <c r="J22" s="62">
        <f>G22+I22</f>
        <v>379999.61</v>
      </c>
      <c r="K22" s="62"/>
      <c r="L22" s="62" t="e">
        <f>J22-#REF!</f>
        <v>#REF!</v>
      </c>
      <c r="M22" s="304"/>
      <c r="N22" s="64"/>
      <c r="O22" s="329"/>
      <c r="P22" s="330"/>
      <c r="Q22" s="330"/>
      <c r="R22" s="71"/>
      <c r="S22" s="71"/>
      <c r="T22" s="71"/>
      <c r="U22" s="71"/>
      <c r="V22" s="71"/>
      <c r="W22" s="71"/>
      <c r="X22" s="71"/>
    </row>
    <row r="23" spans="1:24" ht="12.2" hidden="1" customHeight="1" x14ac:dyDescent="0.2">
      <c r="A23" s="325">
        <v>312</v>
      </c>
      <c r="B23" s="326" t="s">
        <v>32</v>
      </c>
      <c r="C23" s="327">
        <f t="shared" ref="C23" si="8">C22</f>
        <v>296393.5</v>
      </c>
      <c r="D23" s="89"/>
      <c r="E23" s="89">
        <f t="shared" ref="E23:L23" si="9">E22</f>
        <v>204493.61</v>
      </c>
      <c r="F23" s="79">
        <f t="shared" si="9"/>
        <v>0</v>
      </c>
      <c r="G23" s="89">
        <f t="shared" si="9"/>
        <v>204493.61</v>
      </c>
      <c r="H23" s="79">
        <f t="shared" si="9"/>
        <v>0</v>
      </c>
      <c r="I23" s="79">
        <f t="shared" si="9"/>
        <v>175506</v>
      </c>
      <c r="J23" s="79">
        <f t="shared" si="9"/>
        <v>379999.61</v>
      </c>
      <c r="K23" s="79"/>
      <c r="L23" s="79" t="e">
        <f t="shared" si="9"/>
        <v>#REF!</v>
      </c>
      <c r="M23" s="308"/>
      <c r="N23" s="81"/>
      <c r="O23" s="82"/>
      <c r="P23" s="83"/>
      <c r="Q23" s="83"/>
      <c r="R23" s="89"/>
      <c r="S23" s="89"/>
      <c r="T23" s="89"/>
      <c r="U23" s="89"/>
      <c r="V23" s="89"/>
      <c r="W23" s="89"/>
      <c r="X23" s="89"/>
    </row>
    <row r="24" spans="1:24" ht="11.25" hidden="1" customHeight="1" x14ac:dyDescent="0.2">
      <c r="A24" s="331">
        <v>31</v>
      </c>
      <c r="B24" s="331" t="s">
        <v>33</v>
      </c>
      <c r="C24" s="327">
        <f>C17+C21+C23</f>
        <v>6282298.3100000005</v>
      </c>
      <c r="D24" s="89"/>
      <c r="E24" s="89">
        <f t="shared" ref="E24:L24" si="10">E16+E18+E19+E20+E22</f>
        <v>4758091.58</v>
      </c>
      <c r="F24" s="79">
        <f t="shared" si="10"/>
        <v>525168</v>
      </c>
      <c r="G24" s="89">
        <f t="shared" si="10"/>
        <v>4758091.58</v>
      </c>
      <c r="H24" s="79">
        <f t="shared" si="10"/>
        <v>525168</v>
      </c>
      <c r="I24" s="79">
        <f t="shared" si="10"/>
        <v>1751010</v>
      </c>
      <c r="J24" s="79">
        <f t="shared" si="10"/>
        <v>6509101.5800000001</v>
      </c>
      <c r="K24" s="79"/>
      <c r="L24" s="79" t="e">
        <f t="shared" si="10"/>
        <v>#REF!</v>
      </c>
      <c r="M24" s="308"/>
      <c r="N24" s="81"/>
      <c r="O24" s="82"/>
      <c r="P24" s="83"/>
      <c r="Q24" s="83"/>
      <c r="R24" s="89"/>
      <c r="S24" s="89"/>
      <c r="T24" s="89"/>
      <c r="U24" s="89"/>
      <c r="V24" s="89"/>
      <c r="W24" s="89"/>
      <c r="X24" s="89"/>
    </row>
    <row r="25" spans="1:24" ht="12.2" hidden="1" customHeight="1" x14ac:dyDescent="0.2">
      <c r="A25" s="322">
        <v>3212</v>
      </c>
      <c r="B25" s="328" t="s">
        <v>35</v>
      </c>
      <c r="C25" s="324">
        <v>133970.44</v>
      </c>
      <c r="D25" s="71"/>
      <c r="E25" s="71">
        <v>101680.66</v>
      </c>
      <c r="F25" s="62">
        <v>12400</v>
      </c>
      <c r="G25" s="71">
        <v>101680.66</v>
      </c>
      <c r="H25" s="62">
        <v>12400</v>
      </c>
      <c r="I25" s="62">
        <f>H25*3</f>
        <v>37200</v>
      </c>
      <c r="J25" s="62">
        <f>G25+I25</f>
        <v>138880.66</v>
      </c>
      <c r="K25" s="62"/>
      <c r="L25" s="62" t="e">
        <f>J25-#REF!</f>
        <v>#REF!</v>
      </c>
      <c r="M25" s="304"/>
      <c r="N25" s="64"/>
      <c r="O25" s="62"/>
      <c r="P25" s="62"/>
      <c r="Q25" s="62"/>
      <c r="R25" s="71"/>
      <c r="S25" s="71"/>
      <c r="T25" s="71"/>
      <c r="U25" s="71"/>
      <c r="V25" s="71"/>
      <c r="W25" s="71"/>
      <c r="X25" s="71"/>
    </row>
    <row r="26" spans="1:24" ht="11.25" hidden="1" customHeight="1" x14ac:dyDescent="0.2">
      <c r="A26" s="296"/>
      <c r="B26" s="296"/>
      <c r="C26" s="65"/>
      <c r="D26" s="71"/>
      <c r="E26" s="303"/>
      <c r="F26" s="62"/>
      <c r="G26" s="303"/>
      <c r="H26" s="62"/>
      <c r="I26" s="62"/>
      <c r="J26" s="62"/>
      <c r="K26" s="62"/>
      <c r="L26" s="62" t="e">
        <f>L24+L25</f>
        <v>#REF!</v>
      </c>
      <c r="M26" s="304"/>
      <c r="N26" s="64"/>
      <c r="O26" s="62"/>
      <c r="P26" s="305"/>
      <c r="Q26" s="305"/>
      <c r="R26" s="71"/>
      <c r="S26" s="71"/>
      <c r="T26" s="71"/>
      <c r="U26" s="71"/>
      <c r="V26" s="71"/>
      <c r="W26" s="71"/>
      <c r="X26" s="71"/>
    </row>
    <row r="27" spans="1:24" ht="22.5" hidden="1" customHeight="1" x14ac:dyDescent="0.2">
      <c r="A27" s="310"/>
      <c r="B27" s="311" t="s">
        <v>6</v>
      </c>
      <c r="C27" s="312" t="s">
        <v>87</v>
      </c>
      <c r="D27" s="71"/>
      <c r="E27" s="313" t="s">
        <v>88</v>
      </c>
      <c r="F27" s="314" t="s">
        <v>89</v>
      </c>
      <c r="G27" s="313" t="s">
        <v>88</v>
      </c>
      <c r="H27" s="314" t="s">
        <v>89</v>
      </c>
      <c r="I27" s="314" t="s">
        <v>84</v>
      </c>
      <c r="J27" s="314" t="s">
        <v>90</v>
      </c>
      <c r="K27" s="314"/>
      <c r="L27" s="314" t="s">
        <v>78</v>
      </c>
      <c r="M27" s="304"/>
      <c r="N27" s="64"/>
      <c r="O27" s="62"/>
      <c r="P27" s="305"/>
      <c r="Q27" s="305"/>
      <c r="R27" s="71"/>
      <c r="S27" s="71"/>
      <c r="T27" s="71"/>
      <c r="U27" s="71"/>
      <c r="V27" s="71"/>
      <c r="W27" s="71"/>
      <c r="X27" s="71"/>
    </row>
    <row r="28" spans="1:24" ht="11.25" hidden="1" customHeight="1" x14ac:dyDescent="0.2">
      <c r="A28" s="318">
        <v>1</v>
      </c>
      <c r="B28" s="311">
        <v>2</v>
      </c>
      <c r="C28" s="319" t="s">
        <v>92</v>
      </c>
      <c r="D28" s="71"/>
      <c r="E28" s="320"/>
      <c r="F28" s="46" t="s">
        <v>93</v>
      </c>
      <c r="G28" s="320"/>
      <c r="H28" s="46" t="s">
        <v>93</v>
      </c>
      <c r="I28" s="46" t="s">
        <v>94</v>
      </c>
      <c r="J28" s="46" t="s">
        <v>95</v>
      </c>
      <c r="K28" s="46"/>
      <c r="L28" s="46" t="s">
        <v>96</v>
      </c>
      <c r="M28" s="304"/>
      <c r="N28" s="64"/>
      <c r="O28" s="62"/>
      <c r="P28" s="305"/>
      <c r="Q28" s="305"/>
      <c r="R28" s="71"/>
      <c r="S28" s="71"/>
      <c r="T28" s="71"/>
      <c r="U28" s="71"/>
      <c r="V28" s="71"/>
      <c r="W28" s="71"/>
      <c r="X28" s="71"/>
    </row>
    <row r="29" spans="1:24" ht="11.25" hidden="1" customHeight="1" x14ac:dyDescent="0.2">
      <c r="A29" s="322">
        <v>3111</v>
      </c>
      <c r="B29" s="323" t="s">
        <v>25</v>
      </c>
      <c r="C29" s="324">
        <v>4787693.96</v>
      </c>
      <c r="D29" s="71"/>
      <c r="E29" s="71">
        <v>3657295.3</v>
      </c>
      <c r="F29" s="62">
        <v>429300</v>
      </c>
      <c r="G29" s="71">
        <v>3657295.3</v>
      </c>
      <c r="H29" s="62">
        <v>429300</v>
      </c>
      <c r="I29" s="62">
        <f>H29*3</f>
        <v>1287900</v>
      </c>
      <c r="J29" s="62">
        <f>G29+I29</f>
        <v>4945195.3</v>
      </c>
      <c r="K29" s="62"/>
      <c r="L29" s="62" t="e">
        <f>J29-#REF!</f>
        <v>#REF!</v>
      </c>
      <c r="M29" s="304"/>
      <c r="N29" s="64"/>
      <c r="O29" s="62"/>
      <c r="P29" s="305"/>
      <c r="Q29" s="305"/>
      <c r="R29" s="71"/>
      <c r="S29" s="71"/>
      <c r="T29" s="71"/>
      <c r="U29" s="71"/>
      <c r="V29" s="71"/>
      <c r="W29" s="71"/>
      <c r="X29" s="71"/>
    </row>
    <row r="30" spans="1:24" ht="11.25" hidden="1" customHeight="1" x14ac:dyDescent="0.2">
      <c r="A30" s="325">
        <v>311</v>
      </c>
      <c r="B30" s="326" t="s">
        <v>26</v>
      </c>
      <c r="C30" s="327">
        <f t="shared" ref="C30" si="11">C29</f>
        <v>4787693.96</v>
      </c>
      <c r="D30" s="71"/>
      <c r="E30" s="89">
        <f t="shared" ref="E30:L30" si="12">E29</f>
        <v>3657295.3</v>
      </c>
      <c r="F30" s="79">
        <f t="shared" si="12"/>
        <v>429300</v>
      </c>
      <c r="G30" s="89">
        <f t="shared" si="12"/>
        <v>3657295.3</v>
      </c>
      <c r="H30" s="79">
        <f t="shared" si="12"/>
        <v>429300</v>
      </c>
      <c r="I30" s="79">
        <f t="shared" si="12"/>
        <v>1287900</v>
      </c>
      <c r="J30" s="79">
        <f t="shared" si="12"/>
        <v>4945195.3</v>
      </c>
      <c r="K30" s="79"/>
      <c r="L30" s="79" t="e">
        <f t="shared" si="12"/>
        <v>#REF!</v>
      </c>
      <c r="M30" s="304"/>
      <c r="N30" s="64"/>
      <c r="O30" s="62"/>
      <c r="P30" s="305"/>
      <c r="Q30" s="305"/>
      <c r="R30" s="71"/>
      <c r="S30" s="71"/>
      <c r="T30" s="71"/>
      <c r="U30" s="71"/>
      <c r="V30" s="71"/>
      <c r="W30" s="71"/>
      <c r="X30" s="71"/>
    </row>
    <row r="31" spans="1:24" ht="11.25" hidden="1" customHeight="1" x14ac:dyDescent="0.2">
      <c r="A31" s="322">
        <v>3131</v>
      </c>
      <c r="B31" s="323" t="s">
        <v>27</v>
      </c>
      <c r="C31" s="324">
        <v>373935.75</v>
      </c>
      <c r="D31" s="71"/>
      <c r="E31" s="71">
        <v>285534.3</v>
      </c>
      <c r="F31" s="62">
        <f>F29*7.84/100</f>
        <v>33657.120000000003</v>
      </c>
      <c r="G31" s="71">
        <v>285534.3</v>
      </c>
      <c r="H31" s="62">
        <f>H29*7.84/100</f>
        <v>33657.120000000003</v>
      </c>
      <c r="I31" s="62">
        <f>H31*3</f>
        <v>100971.36000000002</v>
      </c>
      <c r="J31" s="62">
        <f>G31+I31</f>
        <v>386505.66000000003</v>
      </c>
      <c r="K31" s="62"/>
      <c r="L31" s="62" t="e">
        <f>J31-#REF!</f>
        <v>#REF!</v>
      </c>
      <c r="M31" s="304"/>
      <c r="N31" s="64"/>
      <c r="O31" s="62"/>
      <c r="P31" s="305"/>
      <c r="Q31" s="305"/>
      <c r="R31" s="71"/>
      <c r="S31" s="71"/>
      <c r="T31" s="71"/>
      <c r="U31" s="71"/>
      <c r="V31" s="71"/>
      <c r="W31" s="71"/>
      <c r="X31" s="71"/>
    </row>
    <row r="32" spans="1:24" ht="11.25" hidden="1" customHeight="1" x14ac:dyDescent="0.2">
      <c r="A32" s="322">
        <v>3132</v>
      </c>
      <c r="B32" s="328" t="s">
        <v>28</v>
      </c>
      <c r="C32" s="324">
        <v>742445</v>
      </c>
      <c r="D32" s="71"/>
      <c r="E32" s="71">
        <v>548594.37</v>
      </c>
      <c r="F32" s="62">
        <f>F29*15.5/100</f>
        <v>66541.5</v>
      </c>
      <c r="G32" s="71">
        <v>548594.37</v>
      </c>
      <c r="H32" s="62">
        <f>H29*15.5/100</f>
        <v>66541.5</v>
      </c>
      <c r="I32" s="62">
        <f>H32*3</f>
        <v>199624.5</v>
      </c>
      <c r="J32" s="62">
        <f>G32+I32</f>
        <v>748218.87</v>
      </c>
      <c r="K32" s="62"/>
      <c r="L32" s="62" t="e">
        <f>J32-#REF!</f>
        <v>#REF!</v>
      </c>
      <c r="M32" s="304"/>
      <c r="N32" s="64"/>
      <c r="O32" s="62"/>
      <c r="P32" s="305"/>
      <c r="Q32" s="305"/>
      <c r="R32" s="71"/>
      <c r="S32" s="71"/>
      <c r="T32" s="71"/>
      <c r="U32" s="71"/>
      <c r="V32" s="71"/>
      <c r="W32" s="71"/>
      <c r="X32" s="71"/>
    </row>
    <row r="33" spans="1:24" ht="11.25" hidden="1" customHeight="1" x14ac:dyDescent="0.2">
      <c r="A33" s="322">
        <v>3133</v>
      </c>
      <c r="B33" s="323" t="s">
        <v>29</v>
      </c>
      <c r="C33" s="324">
        <v>81830.100000000006</v>
      </c>
      <c r="D33" s="71"/>
      <c r="E33" s="71">
        <v>62174</v>
      </c>
      <c r="F33" s="62">
        <f>F29*1.7/100</f>
        <v>7298.1</v>
      </c>
      <c r="G33" s="71">
        <v>62174</v>
      </c>
      <c r="H33" s="62">
        <f>H29*1.7/100</f>
        <v>7298.1</v>
      </c>
      <c r="I33" s="62">
        <f>H33*3</f>
        <v>21894.300000000003</v>
      </c>
      <c r="J33" s="62">
        <f>G33+I33</f>
        <v>84068.3</v>
      </c>
      <c r="K33" s="62"/>
      <c r="L33" s="62" t="e">
        <f>J33-#REF!</f>
        <v>#REF!</v>
      </c>
      <c r="M33" s="304"/>
      <c r="N33" s="64"/>
      <c r="O33" s="62"/>
      <c r="P33" s="305"/>
      <c r="Q33" s="305"/>
      <c r="R33" s="71"/>
      <c r="S33" s="71"/>
      <c r="T33" s="71"/>
      <c r="U33" s="71"/>
      <c r="V33" s="71"/>
      <c r="W33" s="71"/>
      <c r="X33" s="71"/>
    </row>
    <row r="34" spans="1:24" ht="11.25" hidden="1" customHeight="1" x14ac:dyDescent="0.2">
      <c r="A34" s="325">
        <v>313</v>
      </c>
      <c r="B34" s="326" t="s">
        <v>30</v>
      </c>
      <c r="C34" s="327">
        <f t="shared" ref="C34" si="13">SUM(C31:C33)</f>
        <v>1198210.8500000001</v>
      </c>
      <c r="D34" s="71"/>
      <c r="E34" s="89">
        <f t="shared" ref="E34:L34" si="14">SUM(E31:E33)</f>
        <v>896302.66999999993</v>
      </c>
      <c r="F34" s="79">
        <f t="shared" si="14"/>
        <v>107496.72</v>
      </c>
      <c r="G34" s="89">
        <f t="shared" si="14"/>
        <v>896302.66999999993</v>
      </c>
      <c r="H34" s="79">
        <f t="shared" si="14"/>
        <v>107496.72</v>
      </c>
      <c r="I34" s="79">
        <f t="shared" si="14"/>
        <v>322490.15999999997</v>
      </c>
      <c r="J34" s="79">
        <f t="shared" si="14"/>
        <v>1218792.83</v>
      </c>
      <c r="K34" s="79"/>
      <c r="L34" s="79" t="e">
        <f t="shared" si="14"/>
        <v>#REF!</v>
      </c>
      <c r="M34" s="304"/>
      <c r="N34" s="64"/>
      <c r="O34" s="62"/>
      <c r="P34" s="305"/>
      <c r="Q34" s="305"/>
      <c r="R34" s="71"/>
      <c r="S34" s="71"/>
      <c r="T34" s="71"/>
      <c r="U34" s="71"/>
      <c r="V34" s="71"/>
      <c r="W34" s="71"/>
      <c r="X34" s="71"/>
    </row>
    <row r="35" spans="1:24" ht="11.25" hidden="1" customHeight="1" x14ac:dyDescent="0.2">
      <c r="A35" s="322">
        <v>3121</v>
      </c>
      <c r="B35" s="328" t="s">
        <v>31</v>
      </c>
      <c r="C35" s="324">
        <v>296393.5</v>
      </c>
      <c r="D35" s="71"/>
      <c r="E35" s="71">
        <v>204493.61</v>
      </c>
      <c r="F35" s="62">
        <v>0</v>
      </c>
      <c r="G35" s="71">
        <v>204493.61</v>
      </c>
      <c r="H35" s="62">
        <v>0</v>
      </c>
      <c r="I35" s="62">
        <v>175506</v>
      </c>
      <c r="J35" s="62">
        <f>G35+I35</f>
        <v>379999.61</v>
      </c>
      <c r="K35" s="62"/>
      <c r="L35" s="62" t="e">
        <f>J35-#REF!</f>
        <v>#REF!</v>
      </c>
      <c r="M35" s="304"/>
      <c r="N35" s="64"/>
      <c r="O35" s="62"/>
      <c r="P35" s="305"/>
      <c r="Q35" s="305"/>
      <c r="R35" s="71"/>
      <c r="S35" s="71"/>
      <c r="T35" s="71"/>
      <c r="U35" s="71"/>
      <c r="V35" s="71"/>
      <c r="W35" s="71"/>
      <c r="X35" s="71"/>
    </row>
    <row r="36" spans="1:24" ht="11.25" hidden="1" customHeight="1" x14ac:dyDescent="0.2">
      <c r="A36" s="325">
        <v>312</v>
      </c>
      <c r="B36" s="326" t="s">
        <v>32</v>
      </c>
      <c r="C36" s="327">
        <f t="shared" ref="C36" si="15">C35</f>
        <v>296393.5</v>
      </c>
      <c r="D36" s="71"/>
      <c r="E36" s="89">
        <f t="shared" ref="E36:L36" si="16">E35</f>
        <v>204493.61</v>
      </c>
      <c r="F36" s="79">
        <f t="shared" si="16"/>
        <v>0</v>
      </c>
      <c r="G36" s="89">
        <f t="shared" si="16"/>
        <v>204493.61</v>
      </c>
      <c r="H36" s="79">
        <f t="shared" si="16"/>
        <v>0</v>
      </c>
      <c r="I36" s="79">
        <f t="shared" si="16"/>
        <v>175506</v>
      </c>
      <c r="J36" s="79">
        <f t="shared" si="16"/>
        <v>379999.61</v>
      </c>
      <c r="K36" s="79"/>
      <c r="L36" s="79" t="e">
        <f t="shared" si="16"/>
        <v>#REF!</v>
      </c>
      <c r="M36" s="304"/>
      <c r="N36" s="64"/>
      <c r="O36" s="62"/>
      <c r="P36" s="305"/>
      <c r="Q36" s="305"/>
      <c r="R36" s="71"/>
      <c r="S36" s="71"/>
      <c r="T36" s="71"/>
      <c r="U36" s="71"/>
      <c r="V36" s="71"/>
      <c r="W36" s="71"/>
      <c r="X36" s="71"/>
    </row>
    <row r="37" spans="1:24" ht="11.25" hidden="1" customHeight="1" x14ac:dyDescent="0.2">
      <c r="A37" s="332">
        <v>31</v>
      </c>
      <c r="B37" s="332" t="s">
        <v>33</v>
      </c>
      <c r="C37" s="333">
        <f>C30+C34+C36</f>
        <v>6282298.3100000005</v>
      </c>
      <c r="E37" s="290">
        <f t="shared" ref="E37:L37" si="17">E29+E31+E32+E33+E35</f>
        <v>4758091.58</v>
      </c>
      <c r="F37" s="10">
        <f t="shared" si="17"/>
        <v>536796.72</v>
      </c>
      <c r="G37" s="290">
        <f t="shared" si="17"/>
        <v>4758091.58</v>
      </c>
      <c r="H37" s="10">
        <f t="shared" si="17"/>
        <v>536796.72</v>
      </c>
      <c r="I37" s="10">
        <f t="shared" si="17"/>
        <v>1785896.1600000001</v>
      </c>
      <c r="J37" s="10">
        <f t="shared" si="17"/>
        <v>6543987.7400000002</v>
      </c>
      <c r="K37" s="10"/>
      <c r="L37" s="10" t="e">
        <f t="shared" si="17"/>
        <v>#REF!</v>
      </c>
    </row>
    <row r="38" spans="1:24" ht="11.25" hidden="1" customHeight="1" x14ac:dyDescent="0.2">
      <c r="A38" s="334">
        <v>3212</v>
      </c>
      <c r="B38" s="335" t="s">
        <v>35</v>
      </c>
      <c r="C38" s="336">
        <v>133970.44</v>
      </c>
      <c r="E38" s="3">
        <v>101680.66</v>
      </c>
      <c r="F38" s="5">
        <v>12400</v>
      </c>
      <c r="G38" s="3">
        <v>101680.66</v>
      </c>
      <c r="H38" s="5">
        <v>12400</v>
      </c>
      <c r="I38" s="5">
        <f>H38*3</f>
        <v>37200</v>
      </c>
      <c r="J38" s="5">
        <f>G38+I38</f>
        <v>138880.66</v>
      </c>
      <c r="L38" s="5" t="e">
        <f>J38-#REF!</f>
        <v>#REF!</v>
      </c>
    </row>
    <row r="39" spans="1:24" ht="11.25" hidden="1" customHeight="1" x14ac:dyDescent="0.2"/>
    <row r="40" spans="1:24" s="3" customFormat="1" ht="11.25" hidden="1" customHeight="1" x14ac:dyDescent="0.2">
      <c r="A40" s="1"/>
      <c r="B40" s="1"/>
      <c r="C40" s="2"/>
      <c r="E40" s="4"/>
      <c r="F40" s="5"/>
      <c r="G40" s="4"/>
      <c r="H40" s="5"/>
      <c r="I40" s="5"/>
      <c r="J40" s="5"/>
      <c r="K40" s="5"/>
      <c r="L40" s="5"/>
      <c r="M40" s="6"/>
      <c r="N40" s="7"/>
      <c r="O40" s="5"/>
      <c r="P40" s="8"/>
      <c r="Q40" s="8"/>
    </row>
    <row r="41" spans="1:24" s="3" customFormat="1" ht="11.25" hidden="1" customHeight="1" x14ac:dyDescent="0.2">
      <c r="A41" s="1"/>
      <c r="B41" s="1">
        <v>1</v>
      </c>
      <c r="C41" s="2"/>
      <c r="E41" s="4"/>
      <c r="F41" s="5"/>
      <c r="G41" s="4"/>
      <c r="H41" s="5"/>
      <c r="I41" s="5"/>
      <c r="J41" s="5"/>
      <c r="K41" s="5"/>
      <c r="L41" s="5"/>
      <c r="M41" s="6"/>
      <c r="N41" s="7"/>
      <c r="O41" s="5"/>
      <c r="P41" s="8"/>
      <c r="Q41" s="8"/>
    </row>
    <row r="42" spans="1:24" s="3" customFormat="1" ht="11.25" hidden="1" customHeight="1" x14ac:dyDescent="0.2">
      <c r="A42" s="1"/>
      <c r="B42" s="1">
        <v>2</v>
      </c>
      <c r="C42" s="2"/>
      <c r="E42" s="4"/>
      <c r="F42" s="5"/>
      <c r="G42" s="4"/>
      <c r="H42" s="5"/>
      <c r="I42" s="5"/>
      <c r="J42" s="5"/>
      <c r="K42" s="5"/>
      <c r="L42" s="5"/>
      <c r="M42" s="6"/>
      <c r="N42" s="7"/>
      <c r="O42" s="5"/>
      <c r="P42" s="8"/>
      <c r="Q42" s="8"/>
    </row>
    <row r="43" spans="1:24" s="3" customFormat="1" ht="11.25" hidden="1" customHeight="1" x14ac:dyDescent="0.2">
      <c r="A43" s="1"/>
      <c r="B43" s="1">
        <v>3</v>
      </c>
      <c r="C43" s="2"/>
      <c r="E43" s="4"/>
      <c r="F43" s="5"/>
      <c r="G43" s="4"/>
      <c r="H43" s="5"/>
      <c r="I43" s="5"/>
      <c r="J43" s="5"/>
      <c r="K43" s="5"/>
      <c r="L43" s="5"/>
      <c r="M43" s="6"/>
      <c r="N43" s="7"/>
      <c r="O43" s="5"/>
      <c r="P43" s="8"/>
      <c r="Q43" s="8"/>
    </row>
    <row r="44" spans="1:24" s="3" customFormat="1" ht="11.25" hidden="1" customHeight="1" x14ac:dyDescent="0.2">
      <c r="A44" s="1"/>
      <c r="B44" s="1">
        <v>4</v>
      </c>
      <c r="C44" s="2"/>
      <c r="E44" s="4"/>
      <c r="F44" s="5"/>
      <c r="G44" s="4"/>
      <c r="H44" s="5"/>
      <c r="I44" s="5"/>
      <c r="J44" s="5"/>
      <c r="K44" s="5"/>
      <c r="L44" s="5"/>
      <c r="M44" s="6"/>
      <c r="N44" s="7"/>
      <c r="O44" s="5"/>
      <c r="P44" s="8"/>
      <c r="Q44" s="8"/>
    </row>
    <row r="45" spans="1:24" s="3" customFormat="1" ht="11.25" hidden="1" customHeight="1" x14ac:dyDescent="0.2">
      <c r="A45" s="1"/>
      <c r="B45" s="1">
        <v>5</v>
      </c>
      <c r="C45" s="2"/>
      <c r="E45" s="4"/>
      <c r="F45" s="5"/>
      <c r="G45" s="4"/>
      <c r="H45" s="5"/>
      <c r="I45" s="5"/>
      <c r="J45" s="5"/>
      <c r="K45" s="5"/>
      <c r="L45" s="5"/>
      <c r="M45" s="6"/>
      <c r="N45" s="7"/>
      <c r="O45" s="5"/>
      <c r="P45" s="8"/>
      <c r="Q45" s="8"/>
    </row>
    <row r="46" spans="1:24" s="3" customFormat="1" ht="11.25" hidden="1" customHeight="1" x14ac:dyDescent="0.2">
      <c r="A46" s="1"/>
      <c r="B46" s="1">
        <v>6</v>
      </c>
      <c r="C46" s="2"/>
      <c r="E46" s="4"/>
      <c r="F46" s="5"/>
      <c r="G46" s="4"/>
      <c r="H46" s="5"/>
      <c r="I46" s="5"/>
      <c r="J46" s="5"/>
      <c r="K46" s="5"/>
      <c r="L46" s="5"/>
      <c r="M46" s="6"/>
      <c r="N46" s="7"/>
      <c r="O46" s="5"/>
      <c r="P46" s="8"/>
      <c r="Q46" s="8"/>
    </row>
    <row r="47" spans="1:24" s="3" customFormat="1" ht="11.25" hidden="1" customHeight="1" x14ac:dyDescent="0.2">
      <c r="A47" s="1"/>
      <c r="B47" s="1">
        <v>7</v>
      </c>
      <c r="C47" s="2"/>
      <c r="E47" s="4"/>
      <c r="F47" s="5"/>
      <c r="G47" s="4"/>
      <c r="H47" s="5"/>
      <c r="I47" s="5"/>
      <c r="J47" s="5"/>
      <c r="K47" s="5"/>
      <c r="L47" s="5"/>
      <c r="M47" s="6"/>
      <c r="N47" s="7"/>
      <c r="O47" s="5"/>
      <c r="P47" s="8"/>
      <c r="Q47" s="8"/>
    </row>
    <row r="48" spans="1:24" s="3" customFormat="1" ht="11.25" hidden="1" customHeight="1" x14ac:dyDescent="0.2">
      <c r="A48" s="1"/>
      <c r="B48" s="1">
        <v>8</v>
      </c>
      <c r="C48" s="2"/>
      <c r="E48" s="4"/>
      <c r="F48" s="5"/>
      <c r="G48" s="4"/>
      <c r="H48" s="5"/>
      <c r="I48" s="5"/>
      <c r="J48" s="5"/>
      <c r="K48" s="5"/>
      <c r="L48" s="5"/>
      <c r="M48" s="6"/>
      <c r="N48" s="7"/>
      <c r="O48" s="5"/>
      <c r="P48" s="8"/>
      <c r="Q48" s="8"/>
    </row>
    <row r="49" spans="1:22" s="3" customFormat="1" ht="11.25" hidden="1" customHeight="1" x14ac:dyDescent="0.2">
      <c r="A49" s="1"/>
      <c r="B49" s="1">
        <v>9</v>
      </c>
      <c r="C49" s="2"/>
      <c r="E49" s="4"/>
      <c r="F49" s="5"/>
      <c r="G49" s="4"/>
      <c r="H49" s="5"/>
      <c r="I49" s="5"/>
      <c r="J49" s="5"/>
      <c r="K49" s="5"/>
      <c r="L49" s="5"/>
      <c r="M49" s="6"/>
      <c r="N49" s="7"/>
      <c r="O49" s="5"/>
      <c r="P49" s="8"/>
      <c r="Q49" s="8"/>
    </row>
    <row r="50" spans="1:22" s="3" customFormat="1" ht="11.25" hidden="1" customHeight="1" x14ac:dyDescent="0.2">
      <c r="A50" s="1"/>
      <c r="B50" s="1">
        <f>C50/9</f>
        <v>0.66666666666666663</v>
      </c>
      <c r="C50" s="2">
        <f>B49-B43</f>
        <v>6</v>
      </c>
      <c r="E50" s="4"/>
      <c r="F50" s="5"/>
      <c r="G50" s="4"/>
      <c r="H50" s="5"/>
      <c r="I50" s="5"/>
      <c r="J50" s="5"/>
      <c r="K50" s="5"/>
      <c r="L50" s="5"/>
      <c r="M50" s="6"/>
      <c r="N50" s="7"/>
      <c r="O50" s="5"/>
      <c r="P50" s="8"/>
      <c r="Q50" s="8"/>
    </row>
    <row r="51" spans="1:22" s="3" customFormat="1" ht="11.25" hidden="1" customHeight="1" x14ac:dyDescent="0.2">
      <c r="A51" s="1"/>
      <c r="B51" s="1">
        <v>10</v>
      </c>
      <c r="C51" s="2"/>
      <c r="E51" s="4"/>
      <c r="F51" s="5"/>
      <c r="G51" s="4"/>
      <c r="H51" s="5"/>
      <c r="I51" s="5"/>
      <c r="J51" s="5"/>
      <c r="K51" s="5"/>
      <c r="L51" s="5"/>
      <c r="M51" s="6"/>
      <c r="N51" s="7"/>
      <c r="O51" s="5"/>
      <c r="P51" s="8"/>
      <c r="Q51" s="8"/>
    </row>
    <row r="52" spans="1:22" s="3" customFormat="1" ht="11.25" hidden="1" customHeight="1" x14ac:dyDescent="0.2">
      <c r="A52" s="1"/>
      <c r="B52" s="1">
        <v>11</v>
      </c>
      <c r="C52" s="2"/>
      <c r="E52" s="4"/>
      <c r="F52" s="5"/>
      <c r="G52" s="4"/>
      <c r="H52" s="5"/>
      <c r="I52" s="5"/>
      <c r="J52" s="5"/>
      <c r="K52" s="5"/>
      <c r="L52" s="5"/>
      <c r="M52" s="6"/>
      <c r="N52" s="7"/>
      <c r="O52" s="5"/>
      <c r="P52" s="8"/>
      <c r="Q52" s="8"/>
    </row>
    <row r="53" spans="1:22" s="3" customFormat="1" ht="11.25" hidden="1" customHeight="1" x14ac:dyDescent="0.2">
      <c r="A53" s="1"/>
      <c r="B53" s="1">
        <v>12</v>
      </c>
      <c r="C53" s="2"/>
      <c r="E53" s="4"/>
      <c r="F53" s="5"/>
      <c r="G53" s="4"/>
      <c r="H53" s="5"/>
      <c r="I53" s="5"/>
      <c r="J53" s="5"/>
      <c r="K53" s="5"/>
      <c r="L53" s="5"/>
      <c r="M53" s="6"/>
      <c r="N53" s="7"/>
      <c r="O53" s="5"/>
      <c r="P53" s="8"/>
      <c r="Q53" s="8"/>
    </row>
    <row r="54" spans="1:22" s="3" customFormat="1" x14ac:dyDescent="0.2">
      <c r="A54" s="1"/>
      <c r="B54" s="818" t="s">
        <v>194</v>
      </c>
      <c r="C54" s="818"/>
      <c r="D54" s="818"/>
      <c r="E54" s="818"/>
      <c r="F54" s="818"/>
      <c r="G54" s="818"/>
      <c r="H54" s="818"/>
      <c r="I54" s="818"/>
      <c r="J54" s="818"/>
      <c r="K54" s="19"/>
      <c r="L54" s="5"/>
      <c r="M54" s="5"/>
      <c r="N54" s="5"/>
      <c r="O54" s="5"/>
      <c r="P54" s="5"/>
      <c r="Q54" s="5"/>
    </row>
    <row r="55" spans="1:22" s="3" customFormat="1" x14ac:dyDescent="0.2">
      <c r="A55" s="1"/>
      <c r="B55" s="1"/>
      <c r="C55" s="2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22" s="3" customFormat="1" ht="12" thickBot="1" x14ac:dyDescent="0.25">
      <c r="A56" s="1"/>
      <c r="B56" s="1"/>
      <c r="C56" s="2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22" s="3" customFormat="1" ht="21.75" customHeight="1" thickBot="1" x14ac:dyDescent="0.25">
      <c r="A57" s="361" t="s">
        <v>115</v>
      </c>
      <c r="B57" s="362" t="s">
        <v>116</v>
      </c>
      <c r="C57" s="363"/>
      <c r="D57" s="364"/>
      <c r="E57" s="819">
        <v>2019</v>
      </c>
      <c r="F57" s="820"/>
      <c r="G57" s="819">
        <v>2020</v>
      </c>
      <c r="H57" s="820"/>
      <c r="I57" s="821">
        <v>2021</v>
      </c>
      <c r="J57" s="820"/>
      <c r="K57" s="365">
        <v>2022</v>
      </c>
      <c r="L57" s="366" t="s">
        <v>191</v>
      </c>
      <c r="M57" s="5"/>
      <c r="N57" s="5"/>
      <c r="O57" s="5"/>
      <c r="P57" s="5"/>
      <c r="Q57" s="5"/>
      <c r="S57" s="3" t="s">
        <v>193</v>
      </c>
    </row>
    <row r="58" spans="1:22" s="3" customFormat="1" ht="15" customHeight="1" x14ac:dyDescent="0.2">
      <c r="A58" s="367"/>
      <c r="B58" s="368" t="s">
        <v>192</v>
      </c>
      <c r="C58" s="369"/>
      <c r="D58" s="137"/>
      <c r="E58" s="822">
        <v>150522.32</v>
      </c>
      <c r="F58" s="823"/>
      <c r="G58" s="822">
        <v>0</v>
      </c>
      <c r="H58" s="823"/>
      <c r="I58" s="822">
        <v>14033.78</v>
      </c>
      <c r="J58" s="823"/>
      <c r="K58" s="370">
        <v>14296.88</v>
      </c>
      <c r="L58" s="371">
        <f>K58/I58</f>
        <v>1.0187476218096621</v>
      </c>
      <c r="O58" s="5"/>
      <c r="P58" s="5"/>
      <c r="Q58" s="5"/>
      <c r="S58" s="372" t="s">
        <v>123</v>
      </c>
      <c r="T58" s="372" t="s">
        <v>124</v>
      </c>
      <c r="U58" s="372" t="s">
        <v>125</v>
      </c>
    </row>
    <row r="59" spans="1:22" s="3" customFormat="1" ht="15" customHeight="1" x14ac:dyDescent="0.2">
      <c r="A59" s="56"/>
      <c r="B59" s="296" t="s">
        <v>126</v>
      </c>
      <c r="C59" s="373"/>
      <c r="D59" s="59"/>
      <c r="E59" s="814">
        <v>27580</v>
      </c>
      <c r="F59" s="815"/>
      <c r="G59" s="814">
        <v>12590</v>
      </c>
      <c r="H59" s="815"/>
      <c r="I59" s="814">
        <v>5950</v>
      </c>
      <c r="J59" s="815"/>
      <c r="K59" s="375">
        <v>65115</v>
      </c>
      <c r="L59" s="371">
        <f t="shared" ref="L59:L63" si="18">K59/I59</f>
        <v>10.943697478991597</v>
      </c>
      <c r="O59" s="5"/>
      <c r="P59" s="5"/>
      <c r="Q59" s="5"/>
      <c r="S59" s="3">
        <f>T59+U59</f>
        <v>8024560.4399999995</v>
      </c>
      <c r="T59" s="3">
        <v>4574807.08</v>
      </c>
      <c r="U59" s="3">
        <v>3449753.36</v>
      </c>
      <c r="V59" s="3" t="s">
        <v>127</v>
      </c>
    </row>
    <row r="60" spans="1:22" s="3" customFormat="1" ht="15" customHeight="1" x14ac:dyDescent="0.2">
      <c r="A60" s="56"/>
      <c r="B60" s="296" t="s">
        <v>128</v>
      </c>
      <c r="C60" s="373"/>
      <c r="D60" s="59"/>
      <c r="E60" s="814">
        <v>4097.8999999999996</v>
      </c>
      <c r="F60" s="815"/>
      <c r="G60" s="814">
        <v>0</v>
      </c>
      <c r="H60" s="815"/>
      <c r="I60" s="814">
        <v>53241.99</v>
      </c>
      <c r="J60" s="815"/>
      <c r="K60" s="375">
        <v>17218.98</v>
      </c>
      <c r="L60" s="371">
        <f t="shared" si="18"/>
        <v>0.32340977487881278</v>
      </c>
      <c r="O60" s="5"/>
      <c r="P60" s="5"/>
      <c r="Q60" s="5"/>
      <c r="S60" s="3">
        <f>T60+U60</f>
        <v>228171.28</v>
      </c>
      <c r="T60" s="3">
        <v>77930.66</v>
      </c>
      <c r="U60" s="3">
        <v>150240.62</v>
      </c>
      <c r="V60" s="3" t="s">
        <v>129</v>
      </c>
    </row>
    <row r="61" spans="1:22" s="3" customFormat="1" ht="15" customHeight="1" x14ac:dyDescent="0.2">
      <c r="A61" s="56"/>
      <c r="B61" s="296" t="s">
        <v>130</v>
      </c>
      <c r="C61" s="373"/>
      <c r="D61" s="59"/>
      <c r="E61" s="814">
        <v>9600.5</v>
      </c>
      <c r="F61" s="815"/>
      <c r="G61" s="814">
        <v>8500</v>
      </c>
      <c r="H61" s="815"/>
      <c r="I61" s="814">
        <v>0</v>
      </c>
      <c r="J61" s="815"/>
      <c r="K61" s="375">
        <v>3467.5</v>
      </c>
      <c r="L61" s="371">
        <v>0</v>
      </c>
      <c r="O61" s="5"/>
      <c r="P61" s="5"/>
      <c r="Q61" s="5"/>
      <c r="S61" s="3">
        <f>T61+U61</f>
        <v>111376.97</v>
      </c>
      <c r="T61" s="3">
        <v>111376.97</v>
      </c>
      <c r="U61" s="3">
        <v>0</v>
      </c>
      <c r="V61" s="3" t="s">
        <v>131</v>
      </c>
    </row>
    <row r="62" spans="1:22" s="3" customFormat="1" ht="15" customHeight="1" x14ac:dyDescent="0.2">
      <c r="A62" s="56"/>
      <c r="B62" s="306" t="s">
        <v>132</v>
      </c>
      <c r="C62" s="376"/>
      <c r="D62" s="59"/>
      <c r="E62" s="816">
        <f>SUM(E58:F61)</f>
        <v>191800.72</v>
      </c>
      <c r="F62" s="817"/>
      <c r="G62" s="816">
        <f>SUM(G58:H61)</f>
        <v>21090</v>
      </c>
      <c r="H62" s="817"/>
      <c r="I62" s="816">
        <f>SUM(I58:J61)</f>
        <v>73225.76999999999</v>
      </c>
      <c r="J62" s="817"/>
      <c r="K62" s="378">
        <f>SUM(K58:K61)</f>
        <v>100098.36</v>
      </c>
      <c r="L62" s="379">
        <f t="shared" ref="L62" si="19">K62/I62*100</f>
        <v>136.69826892909424</v>
      </c>
      <c r="O62" s="5"/>
      <c r="P62" s="5"/>
      <c r="Q62" s="5"/>
    </row>
    <row r="63" spans="1:22" s="3" customFormat="1" ht="15" customHeight="1" x14ac:dyDescent="0.2">
      <c r="A63" s="56"/>
      <c r="B63" s="296" t="s">
        <v>133</v>
      </c>
      <c r="C63" s="373"/>
      <c r="D63" s="59"/>
      <c r="E63" s="814">
        <v>8067134.7000000002</v>
      </c>
      <c r="F63" s="815"/>
      <c r="G63" s="814">
        <v>7887937.8499999996</v>
      </c>
      <c r="H63" s="815"/>
      <c r="I63" s="814">
        <v>7609536.5</v>
      </c>
      <c r="J63" s="815"/>
      <c r="K63" s="375">
        <f>S64</f>
        <v>8364108.6899999995</v>
      </c>
      <c r="L63" s="371">
        <f t="shared" si="18"/>
        <v>1.0991613865049468</v>
      </c>
      <c r="O63" s="5"/>
      <c r="P63" s="5"/>
      <c r="Q63" s="5"/>
      <c r="R63" s="3" t="s">
        <v>134</v>
      </c>
      <c r="S63" s="3">
        <f>K62</f>
        <v>100098.36</v>
      </c>
    </row>
    <row r="64" spans="1:22" s="3" customFormat="1" ht="15" customHeight="1" x14ac:dyDescent="0.2">
      <c r="A64" s="248"/>
      <c r="B64" s="381" t="s">
        <v>135</v>
      </c>
      <c r="C64" s="382"/>
      <c r="D64" s="95"/>
      <c r="E64" s="806">
        <v>0</v>
      </c>
      <c r="F64" s="807"/>
      <c r="G64" s="806">
        <v>0</v>
      </c>
      <c r="H64" s="807"/>
      <c r="I64" s="806">
        <v>0</v>
      </c>
      <c r="J64" s="807"/>
      <c r="K64" s="383">
        <v>0</v>
      </c>
      <c r="L64" s="371">
        <v>0</v>
      </c>
      <c r="O64" s="5"/>
      <c r="P64" s="5"/>
      <c r="Q64" s="5"/>
      <c r="R64" s="3" t="s">
        <v>136</v>
      </c>
      <c r="S64" s="3">
        <f>T64+U64</f>
        <v>8364108.6899999995</v>
      </c>
      <c r="T64" s="3">
        <f>SUM(T59:T63)</f>
        <v>4764114.71</v>
      </c>
      <c r="U64" s="3">
        <f>SUM(U59:U63)</f>
        <v>3599993.98</v>
      </c>
    </row>
    <row r="65" spans="1:19" s="3" customFormat="1" ht="15" customHeight="1" thickBot="1" x14ac:dyDescent="0.25">
      <c r="A65" s="248"/>
      <c r="B65" s="381" t="s">
        <v>137</v>
      </c>
      <c r="C65" s="384"/>
      <c r="D65" s="95"/>
      <c r="E65" s="810">
        <v>0</v>
      </c>
      <c r="F65" s="811"/>
      <c r="G65" s="810">
        <v>0</v>
      </c>
      <c r="H65" s="811"/>
      <c r="I65" s="810">
        <v>0</v>
      </c>
      <c r="J65" s="811"/>
      <c r="K65" s="385">
        <v>0</v>
      </c>
      <c r="L65" s="371">
        <v>0</v>
      </c>
      <c r="O65" s="5"/>
      <c r="P65" s="5"/>
      <c r="Q65" s="5"/>
      <c r="R65" s="3" t="s">
        <v>138</v>
      </c>
      <c r="S65" s="3">
        <f>S63+S64</f>
        <v>8464207.0499999989</v>
      </c>
    </row>
    <row r="66" spans="1:19" s="3" customFormat="1" ht="15" customHeight="1" thickBot="1" x14ac:dyDescent="0.25">
      <c r="A66" s="387" t="s">
        <v>139</v>
      </c>
      <c r="B66" s="388" t="s">
        <v>140</v>
      </c>
      <c r="C66" s="389"/>
      <c r="D66" s="364"/>
      <c r="E66" s="812">
        <f>SUM(E62:F65)</f>
        <v>8258935.4199999999</v>
      </c>
      <c r="F66" s="813"/>
      <c r="G66" s="812">
        <f>SUM(G62:H65)</f>
        <v>7909027.8499999996</v>
      </c>
      <c r="H66" s="813"/>
      <c r="I66" s="812">
        <f>I62+I63+I64+I65</f>
        <v>7682762.2699999996</v>
      </c>
      <c r="J66" s="813"/>
      <c r="K66" s="390">
        <f>K62+K63+K64+K65</f>
        <v>8464207.0499999989</v>
      </c>
      <c r="L66" s="391">
        <f t="shared" ref="L66:L72" si="20">K66/I66*100</f>
        <v>110.17140388492066</v>
      </c>
      <c r="O66" s="5"/>
      <c r="P66" s="5"/>
      <c r="Q66" s="5"/>
    </row>
    <row r="67" spans="1:19" s="3" customFormat="1" ht="15" customHeight="1" x14ac:dyDescent="0.2">
      <c r="A67" s="367"/>
      <c r="B67" s="368" t="s">
        <v>141</v>
      </c>
      <c r="C67" s="392"/>
      <c r="D67" s="137"/>
      <c r="E67" s="804">
        <v>7961798.6799999997</v>
      </c>
      <c r="F67" s="805"/>
      <c r="G67" s="804">
        <v>7249487.7000000002</v>
      </c>
      <c r="H67" s="805"/>
      <c r="I67" s="806">
        <v>7322488.7199999997</v>
      </c>
      <c r="J67" s="807"/>
      <c r="K67" s="370">
        <v>8073477.25</v>
      </c>
      <c r="L67" s="371">
        <f t="shared" si="20"/>
        <v>110.25591924708354</v>
      </c>
      <c r="O67" s="5"/>
      <c r="P67" s="5"/>
      <c r="Q67" s="5"/>
    </row>
    <row r="68" spans="1:19" s="3" customFormat="1" ht="15" customHeight="1" thickBot="1" x14ac:dyDescent="0.25">
      <c r="A68" s="248"/>
      <c r="B68" s="381" t="s">
        <v>142</v>
      </c>
      <c r="C68" s="384"/>
      <c r="D68" s="95"/>
      <c r="E68" s="808">
        <v>304229</v>
      </c>
      <c r="F68" s="809"/>
      <c r="G68" s="808">
        <v>646179.68000000005</v>
      </c>
      <c r="H68" s="809"/>
      <c r="I68" s="810">
        <v>356703.25</v>
      </c>
      <c r="J68" s="811"/>
      <c r="K68" s="393">
        <v>398701.14</v>
      </c>
      <c r="L68" s="386">
        <f t="shared" si="20"/>
        <v>111.77390169559712</v>
      </c>
      <c r="O68" s="5"/>
      <c r="P68" s="5"/>
      <c r="Q68" s="5"/>
    </row>
    <row r="69" spans="1:19" s="3" customFormat="1" ht="15" customHeight="1" thickBot="1" x14ac:dyDescent="0.25">
      <c r="A69" s="394" t="s">
        <v>143</v>
      </c>
      <c r="B69" s="395" t="s">
        <v>144</v>
      </c>
      <c r="C69" s="396"/>
      <c r="D69" s="364"/>
      <c r="E69" s="798">
        <f>E68+E67</f>
        <v>8266027.6799999997</v>
      </c>
      <c r="F69" s="799"/>
      <c r="G69" s="798">
        <f>G68+G67</f>
        <v>7895667.3799999999</v>
      </c>
      <c r="H69" s="799"/>
      <c r="I69" s="798">
        <f>I68+I67</f>
        <v>7679191.9699999997</v>
      </c>
      <c r="J69" s="799"/>
      <c r="K69" s="398">
        <f>K67+K68</f>
        <v>8472178.3900000006</v>
      </c>
      <c r="L69" s="399">
        <f t="shared" si="20"/>
        <v>110.3264304772941</v>
      </c>
      <c r="O69" s="5"/>
      <c r="P69" s="5"/>
      <c r="Q69" s="5"/>
    </row>
    <row r="70" spans="1:19" s="3" customFormat="1" ht="15" customHeight="1" thickBot="1" x14ac:dyDescent="0.25">
      <c r="A70" s="400" t="s">
        <v>145</v>
      </c>
      <c r="B70" s="401" t="s">
        <v>146</v>
      </c>
      <c r="C70" s="402"/>
      <c r="D70" s="364"/>
      <c r="E70" s="800">
        <v>-7092.26</v>
      </c>
      <c r="F70" s="801"/>
      <c r="G70" s="800">
        <f>G66-G69</f>
        <v>13360.469999999739</v>
      </c>
      <c r="H70" s="801"/>
      <c r="I70" s="802">
        <v>3570.29</v>
      </c>
      <c r="J70" s="803"/>
      <c r="K70" s="404">
        <f>K66-K69</f>
        <v>-7971.3400000017136</v>
      </c>
      <c r="L70" s="405">
        <f>K70/I70*100</f>
        <v>-223.26869806098983</v>
      </c>
      <c r="O70" s="5"/>
      <c r="P70" s="5"/>
      <c r="Q70" s="5"/>
    </row>
    <row r="71" spans="1:19" s="3" customFormat="1" ht="15" customHeight="1" thickBot="1" x14ac:dyDescent="0.25">
      <c r="A71" s="406" t="s">
        <v>147</v>
      </c>
      <c r="B71" s="407" t="s">
        <v>148</v>
      </c>
      <c r="C71" s="408"/>
      <c r="D71" s="364"/>
      <c r="E71" s="796">
        <v>-28336.67</v>
      </c>
      <c r="F71" s="796"/>
      <c r="G71" s="796">
        <f>E72</f>
        <v>-35428.93</v>
      </c>
      <c r="H71" s="796"/>
      <c r="I71" s="796">
        <f>G72</f>
        <v>-22068.460000000261</v>
      </c>
      <c r="J71" s="796"/>
      <c r="K71" s="403">
        <v>-18498.169999999998</v>
      </c>
      <c r="L71" s="405">
        <f t="shared" si="20"/>
        <v>83.821752854525329</v>
      </c>
      <c r="O71" s="5"/>
      <c r="P71" s="5"/>
      <c r="Q71" s="5"/>
    </row>
    <row r="72" spans="1:19" s="3" customFormat="1" ht="15" customHeight="1" thickBot="1" x14ac:dyDescent="0.25">
      <c r="A72" s="409"/>
      <c r="B72" s="410" t="s">
        <v>149</v>
      </c>
      <c r="C72" s="411"/>
      <c r="D72" s="364"/>
      <c r="E72" s="797">
        <f>E70+E71</f>
        <v>-35428.93</v>
      </c>
      <c r="F72" s="797"/>
      <c r="G72" s="797">
        <f>G70+G71</f>
        <v>-22068.460000000261</v>
      </c>
      <c r="H72" s="797"/>
      <c r="I72" s="797">
        <f>I70+I71</f>
        <v>-18498.17000000026</v>
      </c>
      <c r="J72" s="797"/>
      <c r="K72" s="397">
        <f>K70+K71</f>
        <v>-26469.510000001712</v>
      </c>
      <c r="L72" s="399">
        <f t="shared" si="20"/>
        <v>143.09258699645068</v>
      </c>
      <c r="O72" s="5"/>
      <c r="P72" s="5"/>
      <c r="Q72" s="5"/>
    </row>
    <row r="73" spans="1:19" s="3" customFormat="1" ht="15" customHeight="1" x14ac:dyDescent="0.2">
      <c r="A73" s="793"/>
      <c r="B73" s="794"/>
      <c r="C73" s="794"/>
      <c r="D73" s="794"/>
      <c r="E73" s="794"/>
      <c r="F73" s="794"/>
      <c r="G73" s="794"/>
      <c r="H73" s="794"/>
      <c r="I73" s="794"/>
      <c r="J73" s="794"/>
      <c r="K73" s="794"/>
      <c r="L73" s="795"/>
      <c r="O73" s="5"/>
      <c r="P73" s="5"/>
      <c r="Q73" s="5"/>
    </row>
    <row r="74" spans="1:19" s="3" customFormat="1" ht="15" customHeight="1" x14ac:dyDescent="0.2">
      <c r="A74" s="412"/>
      <c r="B74" s="781" t="s">
        <v>150</v>
      </c>
      <c r="C74" s="782"/>
      <c r="D74" s="783"/>
      <c r="E74" s="784">
        <v>0</v>
      </c>
      <c r="F74" s="784"/>
      <c r="G74" s="784">
        <v>0</v>
      </c>
      <c r="H74" s="784"/>
      <c r="I74" s="784">
        <v>0</v>
      </c>
      <c r="J74" s="784"/>
      <c r="K74" s="374">
        <v>0</v>
      </c>
      <c r="L74" s="413">
        <v>0</v>
      </c>
      <c r="N74" s="5"/>
      <c r="O74" s="5"/>
      <c r="P74" s="5"/>
      <c r="Q74" s="5"/>
    </row>
    <row r="75" spans="1:19" s="3" customFormat="1" ht="15" customHeight="1" x14ac:dyDescent="0.2">
      <c r="A75" s="412"/>
      <c r="B75" s="781" t="s">
        <v>151</v>
      </c>
      <c r="C75" s="782"/>
      <c r="D75" s="783"/>
      <c r="E75" s="784">
        <v>0</v>
      </c>
      <c r="F75" s="784"/>
      <c r="G75" s="784">
        <v>0</v>
      </c>
      <c r="H75" s="784"/>
      <c r="I75" s="784">
        <v>0</v>
      </c>
      <c r="J75" s="784"/>
      <c r="K75" s="374">
        <v>0</v>
      </c>
      <c r="L75" s="413">
        <v>0</v>
      </c>
      <c r="N75" s="5"/>
      <c r="O75" s="5"/>
      <c r="P75" s="5"/>
      <c r="Q75" s="5"/>
    </row>
    <row r="76" spans="1:19" s="3" customFormat="1" ht="15" customHeight="1" x14ac:dyDescent="0.2">
      <c r="A76" s="412"/>
      <c r="B76" s="781" t="s">
        <v>152</v>
      </c>
      <c r="C76" s="782"/>
      <c r="D76" s="783"/>
      <c r="E76" s="784">
        <v>7547</v>
      </c>
      <c r="F76" s="784"/>
      <c r="G76" s="784">
        <v>16247.93</v>
      </c>
      <c r="H76" s="784"/>
      <c r="I76" s="784">
        <v>9377.99</v>
      </c>
      <c r="J76" s="784"/>
      <c r="K76" s="374">
        <v>3604.22</v>
      </c>
      <c r="L76" s="413">
        <f>K76/I76*100</f>
        <v>38.432755846402053</v>
      </c>
      <c r="N76" s="5"/>
      <c r="O76" s="5"/>
      <c r="P76" s="5"/>
      <c r="Q76" s="5"/>
    </row>
    <row r="77" spans="1:19" s="3" customFormat="1" ht="15" customHeight="1" x14ac:dyDescent="0.2">
      <c r="A77" s="412"/>
      <c r="B77" s="781" t="s">
        <v>153</v>
      </c>
      <c r="C77" s="782"/>
      <c r="D77" s="783"/>
      <c r="E77" s="784">
        <v>37080.589999999997</v>
      </c>
      <c r="F77" s="784"/>
      <c r="G77" s="784">
        <v>89019.07</v>
      </c>
      <c r="H77" s="784"/>
      <c r="I77" s="784">
        <v>211366.15</v>
      </c>
      <c r="J77" s="784"/>
      <c r="K77" s="374">
        <v>117952.72</v>
      </c>
      <c r="L77" s="413">
        <f>K77/I77*100</f>
        <v>55.80492429842716</v>
      </c>
      <c r="N77" s="5"/>
      <c r="O77" s="5"/>
      <c r="P77" s="5"/>
      <c r="Q77" s="5"/>
    </row>
    <row r="78" spans="1:19" s="3" customFormat="1" ht="15" customHeight="1" x14ac:dyDescent="0.2">
      <c r="A78" s="412"/>
      <c r="B78" s="789" t="s">
        <v>154</v>
      </c>
      <c r="C78" s="790"/>
      <c r="D78" s="791"/>
      <c r="E78" s="792">
        <f>SUM(E74:F77)</f>
        <v>44627.59</v>
      </c>
      <c r="F78" s="792"/>
      <c r="G78" s="792">
        <f>SUM(G74:H77)</f>
        <v>105267</v>
      </c>
      <c r="H78" s="792"/>
      <c r="I78" s="792">
        <f>SUM(I74:J77)</f>
        <v>220744.13999999998</v>
      </c>
      <c r="J78" s="792"/>
      <c r="K78" s="377">
        <f>K74+K75+K76+K77</f>
        <v>121556.94</v>
      </c>
      <c r="L78" s="413">
        <f t="shared" ref="L78:L81" si="21">K78/I78*100</f>
        <v>55.066893281968902</v>
      </c>
      <c r="N78" s="5"/>
      <c r="O78" s="5"/>
      <c r="P78" s="5"/>
      <c r="Q78" s="5"/>
    </row>
    <row r="79" spans="1:19" s="3" customFormat="1" ht="15" customHeight="1" x14ac:dyDescent="0.2">
      <c r="A79" s="412"/>
      <c r="B79" s="781" t="s">
        <v>155</v>
      </c>
      <c r="C79" s="782"/>
      <c r="D79" s="783"/>
      <c r="E79" s="784">
        <v>698904.62</v>
      </c>
      <c r="F79" s="784"/>
      <c r="G79" s="784">
        <v>694765.51</v>
      </c>
      <c r="H79" s="784"/>
      <c r="I79" s="784">
        <v>798804.98</v>
      </c>
      <c r="J79" s="784"/>
      <c r="K79" s="374">
        <v>807167.54</v>
      </c>
      <c r="L79" s="413">
        <f t="shared" si="21"/>
        <v>101.04688380886159</v>
      </c>
      <c r="N79" s="5"/>
      <c r="O79" s="5"/>
      <c r="P79" s="5"/>
      <c r="Q79" s="5"/>
    </row>
    <row r="80" spans="1:19" s="3" customFormat="1" ht="15" customHeight="1" x14ac:dyDescent="0.2">
      <c r="A80" s="412"/>
      <c r="B80" s="781" t="s">
        <v>156</v>
      </c>
      <c r="C80" s="782"/>
      <c r="D80" s="783"/>
      <c r="E80" s="784">
        <v>618848.1</v>
      </c>
      <c r="F80" s="784"/>
      <c r="G80" s="784">
        <v>567430.05000000005</v>
      </c>
      <c r="H80" s="784"/>
      <c r="I80" s="784">
        <v>559562.67000000004</v>
      </c>
      <c r="J80" s="784"/>
      <c r="K80" s="374">
        <v>659667.67000000004</v>
      </c>
      <c r="L80" s="413">
        <f t="shared" si="21"/>
        <v>117.88986388244949</v>
      </c>
      <c r="N80" s="5"/>
      <c r="O80" s="5"/>
      <c r="P80" s="5"/>
      <c r="Q80" s="5"/>
    </row>
    <row r="81" spans="1:24" s="3" customFormat="1" ht="15" customHeight="1" thickBot="1" x14ac:dyDescent="0.25">
      <c r="A81" s="414"/>
      <c r="B81" s="785" t="s">
        <v>157</v>
      </c>
      <c r="C81" s="786"/>
      <c r="D81" s="787"/>
      <c r="E81" s="788">
        <f>E79-E80</f>
        <v>80056.520000000019</v>
      </c>
      <c r="F81" s="788"/>
      <c r="G81" s="788">
        <f>G79-G80</f>
        <v>127335.45999999996</v>
      </c>
      <c r="H81" s="788"/>
      <c r="I81" s="788">
        <f>I79-I80</f>
        <v>239242.30999999994</v>
      </c>
      <c r="J81" s="788"/>
      <c r="K81" s="415">
        <v>148026.45000000001</v>
      </c>
      <c r="L81" s="416">
        <f t="shared" si="21"/>
        <v>61.873023212323965</v>
      </c>
      <c r="N81" s="5"/>
      <c r="O81" s="5"/>
      <c r="P81" s="5"/>
      <c r="Q81" s="5"/>
    </row>
    <row r="82" spans="1:24" s="3" customFormat="1" ht="15" customHeight="1" thickBot="1" x14ac:dyDescent="0.25">
      <c r="A82" s="417"/>
      <c r="B82" s="777" t="s">
        <v>158</v>
      </c>
      <c r="C82" s="778"/>
      <c r="D82" s="779"/>
      <c r="E82" s="780">
        <f>E78-E81</f>
        <v>-35428.930000000022</v>
      </c>
      <c r="F82" s="780"/>
      <c r="G82" s="780">
        <f>G78-G81</f>
        <v>-22068.459999999963</v>
      </c>
      <c r="H82" s="780"/>
      <c r="I82" s="780">
        <f>I78-I81</f>
        <v>-18498.169999999955</v>
      </c>
      <c r="J82" s="780"/>
      <c r="K82" s="418">
        <f>K78-K81</f>
        <v>-26469.510000000009</v>
      </c>
      <c r="L82" s="360">
        <f>K82/I82*100</f>
        <v>143.09258699644383</v>
      </c>
      <c r="N82" s="5"/>
      <c r="O82" s="5"/>
      <c r="P82" s="5"/>
      <c r="Q82" s="5"/>
    </row>
    <row r="83" spans="1:24" s="3" customFormat="1" ht="15" customHeight="1" x14ac:dyDescent="0.2">
      <c r="A83" s="1"/>
      <c r="B83" s="1"/>
      <c r="C83" s="5"/>
      <c r="N83" s="5"/>
      <c r="O83" s="5"/>
      <c r="P83" s="5"/>
      <c r="Q83" s="5"/>
    </row>
    <row r="84" spans="1:24" s="3" customFormat="1" ht="15" customHeight="1" x14ac:dyDescent="0.2">
      <c r="A84" s="1"/>
      <c r="B84" s="337"/>
      <c r="C84" s="338"/>
      <c r="D84" s="339"/>
      <c r="E84" s="340"/>
      <c r="G84" s="340"/>
      <c r="M84" s="341"/>
      <c r="N84" s="7"/>
      <c r="O84" s="5"/>
      <c r="P84" s="8"/>
      <c r="Q84" s="8"/>
    </row>
    <row r="85" spans="1:24" s="3" customFormat="1" ht="15" customHeight="1" x14ac:dyDescent="0.2">
      <c r="A85" s="1"/>
      <c r="B85" s="337"/>
      <c r="C85" s="338"/>
      <c r="D85" s="339"/>
      <c r="E85" s="340"/>
      <c r="G85" s="340"/>
      <c r="M85" s="341"/>
      <c r="N85" s="7"/>
      <c r="O85" s="5"/>
      <c r="P85" s="8"/>
      <c r="Q85" s="8"/>
    </row>
    <row r="86" spans="1:24" s="3" customFormat="1" ht="15" customHeight="1" x14ac:dyDescent="0.2">
      <c r="A86" s="1"/>
      <c r="B86" s="337"/>
      <c r="C86" s="338"/>
      <c r="D86" s="339"/>
      <c r="E86" s="340"/>
      <c r="G86" s="340"/>
      <c r="M86" s="341"/>
      <c r="N86" s="7"/>
      <c r="O86" s="5"/>
      <c r="P86" s="8"/>
      <c r="Q86" s="8"/>
    </row>
    <row r="87" spans="1:24" s="3" customFormat="1" ht="15" customHeight="1" x14ac:dyDescent="0.2">
      <c r="A87" s="1"/>
      <c r="B87" s="337"/>
      <c r="C87" s="338"/>
      <c r="D87" s="339"/>
      <c r="E87" s="340"/>
      <c r="G87" s="340"/>
      <c r="M87" s="341"/>
      <c r="N87" s="7"/>
      <c r="O87" s="5"/>
      <c r="P87" s="8"/>
      <c r="Q87" s="8"/>
    </row>
    <row r="88" spans="1:24" s="7" customFormat="1" x14ac:dyDescent="0.2">
      <c r="A88" s="1"/>
      <c r="B88" s="337"/>
      <c r="C88" s="338"/>
      <c r="D88" s="339"/>
      <c r="E88" s="340"/>
      <c r="F88" s="3"/>
      <c r="G88" s="340"/>
      <c r="H88" s="3"/>
      <c r="I88" s="3"/>
      <c r="J88" s="3"/>
      <c r="K88" s="3"/>
      <c r="L88" s="3"/>
      <c r="M88" s="341"/>
      <c r="O88" s="5"/>
      <c r="P88" s="8"/>
      <c r="Q88" s="8"/>
      <c r="R88" s="3"/>
      <c r="S88" s="3"/>
      <c r="T88" s="3"/>
      <c r="U88" s="3"/>
      <c r="V88" s="3"/>
      <c r="W88" s="3"/>
      <c r="X88" s="3"/>
    </row>
    <row r="89" spans="1:24" s="7" customFormat="1" x14ac:dyDescent="0.2">
      <c r="A89" s="1"/>
      <c r="B89" s="337"/>
      <c r="C89" s="419"/>
      <c r="D89" s="339"/>
      <c r="E89" s="340"/>
      <c r="F89" s="3"/>
      <c r="G89" s="340"/>
      <c r="H89" s="3"/>
      <c r="I89" s="3"/>
      <c r="J89" s="3"/>
      <c r="K89" s="3"/>
      <c r="L89" s="3"/>
      <c r="M89" s="341"/>
      <c r="O89" s="5"/>
      <c r="P89" s="8"/>
      <c r="Q89" s="8"/>
      <c r="R89" s="3"/>
      <c r="S89" s="3"/>
      <c r="T89" s="3"/>
      <c r="U89" s="3"/>
      <c r="V89" s="3"/>
      <c r="W89" s="3"/>
      <c r="X89" s="3"/>
    </row>
    <row r="90" spans="1:24" s="7" customFormat="1" x14ac:dyDescent="0.2">
      <c r="A90" s="1"/>
      <c r="B90" s="337"/>
      <c r="C90" s="338"/>
      <c r="D90" s="339"/>
      <c r="E90" s="340"/>
      <c r="F90" s="3"/>
      <c r="G90" s="340"/>
      <c r="H90" s="3"/>
      <c r="I90" s="3"/>
      <c r="J90" s="3"/>
      <c r="K90" s="3"/>
      <c r="L90" s="3"/>
      <c r="M90" s="341"/>
      <c r="O90" s="5"/>
      <c r="P90" s="8"/>
      <c r="Q90" s="8"/>
      <c r="R90" s="3"/>
      <c r="S90" s="3"/>
      <c r="T90" s="3"/>
      <c r="U90" s="3"/>
      <c r="V90" s="3"/>
      <c r="W90" s="3"/>
      <c r="X90" s="3"/>
    </row>
    <row r="91" spans="1:24" s="7" customFormat="1" x14ac:dyDescent="0.2">
      <c r="A91" s="1"/>
      <c r="B91" s="1"/>
      <c r="C91" s="2"/>
      <c r="D91" s="3"/>
      <c r="E91" s="340"/>
      <c r="F91" s="3"/>
      <c r="G91" s="340"/>
      <c r="H91" s="3"/>
      <c r="I91" s="3"/>
      <c r="J91" s="3"/>
      <c r="K91" s="3"/>
      <c r="L91" s="3"/>
      <c r="M91" s="341"/>
      <c r="O91" s="5"/>
      <c r="P91" s="8"/>
      <c r="Q91" s="8"/>
      <c r="R91" s="3"/>
      <c r="S91" s="3"/>
      <c r="T91" s="3"/>
      <c r="U91" s="3"/>
      <c r="V91" s="3"/>
      <c r="W91" s="3"/>
      <c r="X91" s="3"/>
    </row>
    <row r="92" spans="1:24" s="7" customFormat="1" x14ac:dyDescent="0.2">
      <c r="A92" s="1"/>
      <c r="B92" s="1"/>
      <c r="C92" s="2"/>
      <c r="D92" s="3"/>
      <c r="E92" s="340"/>
      <c r="F92" s="3"/>
      <c r="G92" s="340"/>
      <c r="H92" s="3"/>
      <c r="I92" s="3"/>
      <c r="J92" s="3"/>
      <c r="K92" s="3"/>
      <c r="L92" s="3"/>
      <c r="M92" s="341"/>
      <c r="O92" s="5"/>
      <c r="P92" s="8"/>
      <c r="Q92" s="8"/>
      <c r="R92" s="3"/>
      <c r="S92" s="3"/>
      <c r="T92" s="3"/>
      <c r="U92" s="3"/>
      <c r="V92" s="3"/>
      <c r="W92" s="3"/>
      <c r="X92" s="3"/>
    </row>
    <row r="93" spans="1:24" s="7" customFormat="1" x14ac:dyDescent="0.2">
      <c r="A93" s="1"/>
      <c r="B93" s="1"/>
      <c r="C93" s="2"/>
      <c r="D93" s="3"/>
      <c r="E93" s="340"/>
      <c r="F93" s="3"/>
      <c r="G93" s="340"/>
      <c r="H93" s="3"/>
      <c r="I93" s="3"/>
      <c r="J93" s="3"/>
      <c r="K93" s="3"/>
      <c r="L93" s="3"/>
      <c r="M93" s="341"/>
      <c r="O93" s="5"/>
      <c r="P93" s="8"/>
      <c r="Q93" s="8"/>
      <c r="R93" s="3"/>
      <c r="S93" s="3"/>
      <c r="T93" s="3"/>
      <c r="U93" s="3"/>
      <c r="V93" s="3"/>
      <c r="W93" s="3"/>
      <c r="X93" s="3"/>
    </row>
    <row r="94" spans="1:24" s="7" customFormat="1" x14ac:dyDescent="0.2">
      <c r="A94" s="1"/>
      <c r="B94" s="1"/>
      <c r="C94" s="2"/>
      <c r="D94" s="3"/>
      <c r="E94" s="340"/>
      <c r="F94" s="3"/>
      <c r="G94" s="340"/>
      <c r="H94" s="3"/>
      <c r="I94" s="3"/>
      <c r="J94" s="3"/>
      <c r="K94" s="3"/>
      <c r="L94" s="3"/>
      <c r="M94" s="341"/>
      <c r="O94" s="5"/>
      <c r="P94" s="8"/>
      <c r="Q94" s="8"/>
      <c r="R94" s="3"/>
      <c r="S94" s="3"/>
      <c r="T94" s="3"/>
      <c r="U94" s="3"/>
      <c r="V94" s="3"/>
      <c r="W94" s="3"/>
      <c r="X94" s="3"/>
    </row>
    <row r="95" spans="1:24" s="7" customFormat="1" x14ac:dyDescent="0.2">
      <c r="A95" s="1"/>
      <c r="B95" s="1"/>
      <c r="C95" s="2"/>
      <c r="D95" s="3"/>
      <c r="E95" s="340"/>
      <c r="F95" s="3"/>
      <c r="G95" s="340"/>
      <c r="H95" s="3"/>
      <c r="I95" s="3"/>
      <c r="J95" s="3"/>
      <c r="K95" s="3"/>
      <c r="L95" s="3"/>
      <c r="M95" s="341"/>
      <c r="O95" s="5"/>
      <c r="P95" s="8"/>
      <c r="Q95" s="8"/>
      <c r="R95" s="3"/>
      <c r="S95" s="3"/>
      <c r="T95" s="3"/>
      <c r="U95" s="3"/>
      <c r="V95" s="3"/>
      <c r="W95" s="3"/>
      <c r="X95" s="3"/>
    </row>
  </sheetData>
  <mergeCells count="86">
    <mergeCell ref="B54:J54"/>
    <mergeCell ref="E57:F57"/>
    <mergeCell ref="G57:H57"/>
    <mergeCell ref="I57:J57"/>
    <mergeCell ref="E58:F58"/>
    <mergeCell ref="G58:H58"/>
    <mergeCell ref="I58:J58"/>
    <mergeCell ref="E59:F59"/>
    <mergeCell ref="G59:H59"/>
    <mergeCell ref="I59:J59"/>
    <mergeCell ref="E60:F60"/>
    <mergeCell ref="G60:H60"/>
    <mergeCell ref="I60:J60"/>
    <mergeCell ref="E61:F61"/>
    <mergeCell ref="G61:H61"/>
    <mergeCell ref="I61:J61"/>
    <mergeCell ref="E62:F62"/>
    <mergeCell ref="G62:H62"/>
    <mergeCell ref="I62:J62"/>
    <mergeCell ref="E63:F63"/>
    <mergeCell ref="G63:H63"/>
    <mergeCell ref="I63:J63"/>
    <mergeCell ref="E64:F64"/>
    <mergeCell ref="G64:H64"/>
    <mergeCell ref="I64:J64"/>
    <mergeCell ref="E65:F65"/>
    <mergeCell ref="G65:H65"/>
    <mergeCell ref="I65:J65"/>
    <mergeCell ref="E66:F66"/>
    <mergeCell ref="G66:H66"/>
    <mergeCell ref="I66:J66"/>
    <mergeCell ref="E67:F67"/>
    <mergeCell ref="G67:H67"/>
    <mergeCell ref="I67:J67"/>
    <mergeCell ref="E68:F68"/>
    <mergeCell ref="G68:H68"/>
    <mergeCell ref="I68:J68"/>
    <mergeCell ref="E69:F69"/>
    <mergeCell ref="G69:H69"/>
    <mergeCell ref="I69:J69"/>
    <mergeCell ref="E70:F70"/>
    <mergeCell ref="G70:H70"/>
    <mergeCell ref="I70:J70"/>
    <mergeCell ref="B75:D75"/>
    <mergeCell ref="E75:F75"/>
    <mergeCell ref="G75:H75"/>
    <mergeCell ref="I75:J75"/>
    <mergeCell ref="E71:F71"/>
    <mergeCell ref="G71:H71"/>
    <mergeCell ref="I71:J71"/>
    <mergeCell ref="E72:F72"/>
    <mergeCell ref="G72:H72"/>
    <mergeCell ref="I72:J72"/>
    <mergeCell ref="A73:L73"/>
    <mergeCell ref="B74:D74"/>
    <mergeCell ref="E74:F74"/>
    <mergeCell ref="G74:H74"/>
    <mergeCell ref="I74:J74"/>
    <mergeCell ref="B76:D76"/>
    <mergeCell ref="E76:F76"/>
    <mergeCell ref="G76:H76"/>
    <mergeCell ref="I76:J76"/>
    <mergeCell ref="B77:D77"/>
    <mergeCell ref="E77:F77"/>
    <mergeCell ref="G77:H77"/>
    <mergeCell ref="I77:J77"/>
    <mergeCell ref="B78:D78"/>
    <mergeCell ref="E78:F78"/>
    <mergeCell ref="G78:H78"/>
    <mergeCell ref="I78:J78"/>
    <mergeCell ref="B79:D79"/>
    <mergeCell ref="E79:F79"/>
    <mergeCell ref="G79:H79"/>
    <mergeCell ref="I79:J79"/>
    <mergeCell ref="B82:D82"/>
    <mergeCell ref="E82:F82"/>
    <mergeCell ref="G82:H82"/>
    <mergeCell ref="I82:J82"/>
    <mergeCell ref="B80:D80"/>
    <mergeCell ref="E80:F80"/>
    <mergeCell ref="G80:H80"/>
    <mergeCell ref="I80:J80"/>
    <mergeCell ref="B81:D81"/>
    <mergeCell ref="E81:F81"/>
    <mergeCell ref="G81:H81"/>
    <mergeCell ref="I81:J81"/>
  </mergeCells>
  <pageMargins left="0" right="0" top="0" bottom="0" header="0" footer="0"/>
  <pageSetup paperSize="9" scale="86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806E-2B45-4176-A673-E3F4730844EE}">
  <sheetPr>
    <tabColor theme="0"/>
    <pageSetUpPr fitToPage="1"/>
  </sheetPr>
  <dimension ref="A1:X95"/>
  <sheetViews>
    <sheetView topLeftCell="A54" zoomScale="130" zoomScaleNormal="130" workbookViewId="0">
      <selection activeCell="I68" sqref="I68:J68"/>
    </sheetView>
  </sheetViews>
  <sheetFormatPr defaultRowHeight="11.25" x14ac:dyDescent="0.2"/>
  <cols>
    <col min="1" max="1" width="5.85546875" style="1" customWidth="1"/>
    <col min="2" max="2" width="25" style="1" customWidth="1"/>
    <col min="3" max="3" width="9.85546875" style="2" hidden="1" customWidth="1"/>
    <col min="4" max="4" width="10.5703125" style="3" customWidth="1"/>
    <col min="5" max="5" width="10" style="4" bestFit="1" customWidth="1"/>
    <col min="6" max="6" width="9.85546875" style="5" customWidth="1"/>
    <col min="7" max="7" width="10" style="4" bestFit="1" customWidth="1"/>
    <col min="8" max="8" width="9.85546875" style="5" customWidth="1"/>
    <col min="9" max="9" width="8.140625" style="5" customWidth="1"/>
    <col min="10" max="10" width="8.42578125" style="5" customWidth="1"/>
    <col min="11" max="11" width="13.7109375" style="5" customWidth="1"/>
    <col min="12" max="12" width="8.42578125" style="5" customWidth="1"/>
    <col min="13" max="13" width="9" style="6" hidden="1" customWidth="1"/>
    <col min="14" max="14" width="9" style="7" hidden="1" customWidth="1"/>
    <col min="15" max="15" width="9.42578125" style="5" hidden="1" customWidth="1"/>
    <col min="16" max="17" width="9.28515625" style="8" hidden="1" customWidth="1"/>
    <col min="18" max="18" width="9.85546875" style="3" customWidth="1"/>
    <col min="19" max="20" width="10.5703125" style="3" customWidth="1"/>
    <col min="21" max="21" width="10" style="3" customWidth="1"/>
    <col min="22" max="22" width="10.5703125" style="3" customWidth="1"/>
    <col min="23" max="23" width="9.28515625" style="3" customWidth="1"/>
    <col min="24" max="24" width="8.5703125" style="3" customWidth="1"/>
    <col min="25" max="259" width="9.140625" style="1"/>
    <col min="260" max="260" width="5.85546875" style="1" customWidth="1"/>
    <col min="261" max="261" width="25" style="1" customWidth="1"/>
    <col min="262" max="262" width="10" style="1" bestFit="1" customWidth="1"/>
    <col min="263" max="263" width="9.85546875" style="1" customWidth="1"/>
    <col min="264" max="264" width="10" style="1" bestFit="1" customWidth="1"/>
    <col min="265" max="265" width="9.85546875" style="1" customWidth="1"/>
    <col min="266" max="266" width="8.140625" style="1" customWidth="1"/>
    <col min="267" max="268" width="8.42578125" style="1" customWidth="1"/>
    <col min="269" max="270" width="9" style="1" customWidth="1"/>
    <col min="271" max="273" width="0" style="1" hidden="1" customWidth="1"/>
    <col min="274" max="274" width="9.85546875" style="1" customWidth="1"/>
    <col min="275" max="276" width="10.5703125" style="1" customWidth="1"/>
    <col min="277" max="277" width="10" style="1" customWidth="1"/>
    <col min="278" max="278" width="10.5703125" style="1" customWidth="1"/>
    <col min="279" max="279" width="9.28515625" style="1" customWidth="1"/>
    <col min="280" max="280" width="8.5703125" style="1" customWidth="1"/>
    <col min="281" max="515" width="9.140625" style="1"/>
    <col min="516" max="516" width="5.85546875" style="1" customWidth="1"/>
    <col min="517" max="517" width="25" style="1" customWidth="1"/>
    <col min="518" max="518" width="10" style="1" bestFit="1" customWidth="1"/>
    <col min="519" max="519" width="9.85546875" style="1" customWidth="1"/>
    <col min="520" max="520" width="10" style="1" bestFit="1" customWidth="1"/>
    <col min="521" max="521" width="9.85546875" style="1" customWidth="1"/>
    <col min="522" max="522" width="8.140625" style="1" customWidth="1"/>
    <col min="523" max="524" width="8.42578125" style="1" customWidth="1"/>
    <col min="525" max="526" width="9" style="1" customWidth="1"/>
    <col min="527" max="529" width="0" style="1" hidden="1" customWidth="1"/>
    <col min="530" max="530" width="9.85546875" style="1" customWidth="1"/>
    <col min="531" max="532" width="10.5703125" style="1" customWidth="1"/>
    <col min="533" max="533" width="10" style="1" customWidth="1"/>
    <col min="534" max="534" width="10.5703125" style="1" customWidth="1"/>
    <col min="535" max="535" width="9.28515625" style="1" customWidth="1"/>
    <col min="536" max="536" width="8.5703125" style="1" customWidth="1"/>
    <col min="537" max="771" width="9.140625" style="1"/>
    <col min="772" max="772" width="5.85546875" style="1" customWidth="1"/>
    <col min="773" max="773" width="25" style="1" customWidth="1"/>
    <col min="774" max="774" width="10" style="1" bestFit="1" customWidth="1"/>
    <col min="775" max="775" width="9.85546875" style="1" customWidth="1"/>
    <col min="776" max="776" width="10" style="1" bestFit="1" customWidth="1"/>
    <col min="777" max="777" width="9.85546875" style="1" customWidth="1"/>
    <col min="778" max="778" width="8.140625" style="1" customWidth="1"/>
    <col min="779" max="780" width="8.42578125" style="1" customWidth="1"/>
    <col min="781" max="782" width="9" style="1" customWidth="1"/>
    <col min="783" max="785" width="0" style="1" hidden="1" customWidth="1"/>
    <col min="786" max="786" width="9.85546875" style="1" customWidth="1"/>
    <col min="787" max="788" width="10.5703125" style="1" customWidth="1"/>
    <col min="789" max="789" width="10" style="1" customWidth="1"/>
    <col min="790" max="790" width="10.5703125" style="1" customWidth="1"/>
    <col min="791" max="791" width="9.28515625" style="1" customWidth="1"/>
    <col min="792" max="792" width="8.5703125" style="1" customWidth="1"/>
    <col min="793" max="1027" width="9.140625" style="1"/>
    <col min="1028" max="1028" width="5.85546875" style="1" customWidth="1"/>
    <col min="1029" max="1029" width="25" style="1" customWidth="1"/>
    <col min="1030" max="1030" width="10" style="1" bestFit="1" customWidth="1"/>
    <col min="1031" max="1031" width="9.85546875" style="1" customWidth="1"/>
    <col min="1032" max="1032" width="10" style="1" bestFit="1" customWidth="1"/>
    <col min="1033" max="1033" width="9.85546875" style="1" customWidth="1"/>
    <col min="1034" max="1034" width="8.140625" style="1" customWidth="1"/>
    <col min="1035" max="1036" width="8.42578125" style="1" customWidth="1"/>
    <col min="1037" max="1038" width="9" style="1" customWidth="1"/>
    <col min="1039" max="1041" width="0" style="1" hidden="1" customWidth="1"/>
    <col min="1042" max="1042" width="9.85546875" style="1" customWidth="1"/>
    <col min="1043" max="1044" width="10.5703125" style="1" customWidth="1"/>
    <col min="1045" max="1045" width="10" style="1" customWidth="1"/>
    <col min="1046" max="1046" width="10.5703125" style="1" customWidth="1"/>
    <col min="1047" max="1047" width="9.28515625" style="1" customWidth="1"/>
    <col min="1048" max="1048" width="8.5703125" style="1" customWidth="1"/>
    <col min="1049" max="1283" width="9.140625" style="1"/>
    <col min="1284" max="1284" width="5.85546875" style="1" customWidth="1"/>
    <col min="1285" max="1285" width="25" style="1" customWidth="1"/>
    <col min="1286" max="1286" width="10" style="1" bestFit="1" customWidth="1"/>
    <col min="1287" max="1287" width="9.85546875" style="1" customWidth="1"/>
    <col min="1288" max="1288" width="10" style="1" bestFit="1" customWidth="1"/>
    <col min="1289" max="1289" width="9.85546875" style="1" customWidth="1"/>
    <col min="1290" max="1290" width="8.140625" style="1" customWidth="1"/>
    <col min="1291" max="1292" width="8.42578125" style="1" customWidth="1"/>
    <col min="1293" max="1294" width="9" style="1" customWidth="1"/>
    <col min="1295" max="1297" width="0" style="1" hidden="1" customWidth="1"/>
    <col min="1298" max="1298" width="9.85546875" style="1" customWidth="1"/>
    <col min="1299" max="1300" width="10.5703125" style="1" customWidth="1"/>
    <col min="1301" max="1301" width="10" style="1" customWidth="1"/>
    <col min="1302" max="1302" width="10.5703125" style="1" customWidth="1"/>
    <col min="1303" max="1303" width="9.28515625" style="1" customWidth="1"/>
    <col min="1304" max="1304" width="8.5703125" style="1" customWidth="1"/>
    <col min="1305" max="1539" width="9.140625" style="1"/>
    <col min="1540" max="1540" width="5.85546875" style="1" customWidth="1"/>
    <col min="1541" max="1541" width="25" style="1" customWidth="1"/>
    <col min="1542" max="1542" width="10" style="1" bestFit="1" customWidth="1"/>
    <col min="1543" max="1543" width="9.85546875" style="1" customWidth="1"/>
    <col min="1544" max="1544" width="10" style="1" bestFit="1" customWidth="1"/>
    <col min="1545" max="1545" width="9.85546875" style="1" customWidth="1"/>
    <col min="1546" max="1546" width="8.140625" style="1" customWidth="1"/>
    <col min="1547" max="1548" width="8.42578125" style="1" customWidth="1"/>
    <col min="1549" max="1550" width="9" style="1" customWidth="1"/>
    <col min="1551" max="1553" width="0" style="1" hidden="1" customWidth="1"/>
    <col min="1554" max="1554" width="9.85546875" style="1" customWidth="1"/>
    <col min="1555" max="1556" width="10.5703125" style="1" customWidth="1"/>
    <col min="1557" max="1557" width="10" style="1" customWidth="1"/>
    <col min="1558" max="1558" width="10.5703125" style="1" customWidth="1"/>
    <col min="1559" max="1559" width="9.28515625" style="1" customWidth="1"/>
    <col min="1560" max="1560" width="8.5703125" style="1" customWidth="1"/>
    <col min="1561" max="1795" width="9.140625" style="1"/>
    <col min="1796" max="1796" width="5.85546875" style="1" customWidth="1"/>
    <col min="1797" max="1797" width="25" style="1" customWidth="1"/>
    <col min="1798" max="1798" width="10" style="1" bestFit="1" customWidth="1"/>
    <col min="1799" max="1799" width="9.85546875" style="1" customWidth="1"/>
    <col min="1800" max="1800" width="10" style="1" bestFit="1" customWidth="1"/>
    <col min="1801" max="1801" width="9.85546875" style="1" customWidth="1"/>
    <col min="1802" max="1802" width="8.140625" style="1" customWidth="1"/>
    <col min="1803" max="1804" width="8.42578125" style="1" customWidth="1"/>
    <col min="1805" max="1806" width="9" style="1" customWidth="1"/>
    <col min="1807" max="1809" width="0" style="1" hidden="1" customWidth="1"/>
    <col min="1810" max="1810" width="9.85546875" style="1" customWidth="1"/>
    <col min="1811" max="1812" width="10.5703125" style="1" customWidth="1"/>
    <col min="1813" max="1813" width="10" style="1" customWidth="1"/>
    <col min="1814" max="1814" width="10.5703125" style="1" customWidth="1"/>
    <col min="1815" max="1815" width="9.28515625" style="1" customWidth="1"/>
    <col min="1816" max="1816" width="8.5703125" style="1" customWidth="1"/>
    <col min="1817" max="2051" width="9.140625" style="1"/>
    <col min="2052" max="2052" width="5.85546875" style="1" customWidth="1"/>
    <col min="2053" max="2053" width="25" style="1" customWidth="1"/>
    <col min="2054" max="2054" width="10" style="1" bestFit="1" customWidth="1"/>
    <col min="2055" max="2055" width="9.85546875" style="1" customWidth="1"/>
    <col min="2056" max="2056" width="10" style="1" bestFit="1" customWidth="1"/>
    <col min="2057" max="2057" width="9.85546875" style="1" customWidth="1"/>
    <col min="2058" max="2058" width="8.140625" style="1" customWidth="1"/>
    <col min="2059" max="2060" width="8.42578125" style="1" customWidth="1"/>
    <col min="2061" max="2062" width="9" style="1" customWidth="1"/>
    <col min="2063" max="2065" width="0" style="1" hidden="1" customWidth="1"/>
    <col min="2066" max="2066" width="9.85546875" style="1" customWidth="1"/>
    <col min="2067" max="2068" width="10.5703125" style="1" customWidth="1"/>
    <col min="2069" max="2069" width="10" style="1" customWidth="1"/>
    <col min="2070" max="2070" width="10.5703125" style="1" customWidth="1"/>
    <col min="2071" max="2071" width="9.28515625" style="1" customWidth="1"/>
    <col min="2072" max="2072" width="8.5703125" style="1" customWidth="1"/>
    <col min="2073" max="2307" width="9.140625" style="1"/>
    <col min="2308" max="2308" width="5.85546875" style="1" customWidth="1"/>
    <col min="2309" max="2309" width="25" style="1" customWidth="1"/>
    <col min="2310" max="2310" width="10" style="1" bestFit="1" customWidth="1"/>
    <col min="2311" max="2311" width="9.85546875" style="1" customWidth="1"/>
    <col min="2312" max="2312" width="10" style="1" bestFit="1" customWidth="1"/>
    <col min="2313" max="2313" width="9.85546875" style="1" customWidth="1"/>
    <col min="2314" max="2314" width="8.140625" style="1" customWidth="1"/>
    <col min="2315" max="2316" width="8.42578125" style="1" customWidth="1"/>
    <col min="2317" max="2318" width="9" style="1" customWidth="1"/>
    <col min="2319" max="2321" width="0" style="1" hidden="1" customWidth="1"/>
    <col min="2322" max="2322" width="9.85546875" style="1" customWidth="1"/>
    <col min="2323" max="2324" width="10.5703125" style="1" customWidth="1"/>
    <col min="2325" max="2325" width="10" style="1" customWidth="1"/>
    <col min="2326" max="2326" width="10.5703125" style="1" customWidth="1"/>
    <col min="2327" max="2327" width="9.28515625" style="1" customWidth="1"/>
    <col min="2328" max="2328" width="8.5703125" style="1" customWidth="1"/>
    <col min="2329" max="2563" width="9.140625" style="1"/>
    <col min="2564" max="2564" width="5.85546875" style="1" customWidth="1"/>
    <col min="2565" max="2565" width="25" style="1" customWidth="1"/>
    <col min="2566" max="2566" width="10" style="1" bestFit="1" customWidth="1"/>
    <col min="2567" max="2567" width="9.85546875" style="1" customWidth="1"/>
    <col min="2568" max="2568" width="10" style="1" bestFit="1" customWidth="1"/>
    <col min="2569" max="2569" width="9.85546875" style="1" customWidth="1"/>
    <col min="2570" max="2570" width="8.140625" style="1" customWidth="1"/>
    <col min="2571" max="2572" width="8.42578125" style="1" customWidth="1"/>
    <col min="2573" max="2574" width="9" style="1" customWidth="1"/>
    <col min="2575" max="2577" width="0" style="1" hidden="1" customWidth="1"/>
    <col min="2578" max="2578" width="9.85546875" style="1" customWidth="1"/>
    <col min="2579" max="2580" width="10.5703125" style="1" customWidth="1"/>
    <col min="2581" max="2581" width="10" style="1" customWidth="1"/>
    <col min="2582" max="2582" width="10.5703125" style="1" customWidth="1"/>
    <col min="2583" max="2583" width="9.28515625" style="1" customWidth="1"/>
    <col min="2584" max="2584" width="8.5703125" style="1" customWidth="1"/>
    <col min="2585" max="2819" width="9.140625" style="1"/>
    <col min="2820" max="2820" width="5.85546875" style="1" customWidth="1"/>
    <col min="2821" max="2821" width="25" style="1" customWidth="1"/>
    <col min="2822" max="2822" width="10" style="1" bestFit="1" customWidth="1"/>
    <col min="2823" max="2823" width="9.85546875" style="1" customWidth="1"/>
    <col min="2824" max="2824" width="10" style="1" bestFit="1" customWidth="1"/>
    <col min="2825" max="2825" width="9.85546875" style="1" customWidth="1"/>
    <col min="2826" max="2826" width="8.140625" style="1" customWidth="1"/>
    <col min="2827" max="2828" width="8.42578125" style="1" customWidth="1"/>
    <col min="2829" max="2830" width="9" style="1" customWidth="1"/>
    <col min="2831" max="2833" width="0" style="1" hidden="1" customWidth="1"/>
    <col min="2834" max="2834" width="9.85546875" style="1" customWidth="1"/>
    <col min="2835" max="2836" width="10.5703125" style="1" customWidth="1"/>
    <col min="2837" max="2837" width="10" style="1" customWidth="1"/>
    <col min="2838" max="2838" width="10.5703125" style="1" customWidth="1"/>
    <col min="2839" max="2839" width="9.28515625" style="1" customWidth="1"/>
    <col min="2840" max="2840" width="8.5703125" style="1" customWidth="1"/>
    <col min="2841" max="3075" width="9.140625" style="1"/>
    <col min="3076" max="3076" width="5.85546875" style="1" customWidth="1"/>
    <col min="3077" max="3077" width="25" style="1" customWidth="1"/>
    <col min="3078" max="3078" width="10" style="1" bestFit="1" customWidth="1"/>
    <col min="3079" max="3079" width="9.85546875" style="1" customWidth="1"/>
    <col min="3080" max="3080" width="10" style="1" bestFit="1" customWidth="1"/>
    <col min="3081" max="3081" width="9.85546875" style="1" customWidth="1"/>
    <col min="3082" max="3082" width="8.140625" style="1" customWidth="1"/>
    <col min="3083" max="3084" width="8.42578125" style="1" customWidth="1"/>
    <col min="3085" max="3086" width="9" style="1" customWidth="1"/>
    <col min="3087" max="3089" width="0" style="1" hidden="1" customWidth="1"/>
    <col min="3090" max="3090" width="9.85546875" style="1" customWidth="1"/>
    <col min="3091" max="3092" width="10.5703125" style="1" customWidth="1"/>
    <col min="3093" max="3093" width="10" style="1" customWidth="1"/>
    <col min="3094" max="3094" width="10.5703125" style="1" customWidth="1"/>
    <col min="3095" max="3095" width="9.28515625" style="1" customWidth="1"/>
    <col min="3096" max="3096" width="8.5703125" style="1" customWidth="1"/>
    <col min="3097" max="3331" width="9.140625" style="1"/>
    <col min="3332" max="3332" width="5.85546875" style="1" customWidth="1"/>
    <col min="3333" max="3333" width="25" style="1" customWidth="1"/>
    <col min="3334" max="3334" width="10" style="1" bestFit="1" customWidth="1"/>
    <col min="3335" max="3335" width="9.85546875" style="1" customWidth="1"/>
    <col min="3336" max="3336" width="10" style="1" bestFit="1" customWidth="1"/>
    <col min="3337" max="3337" width="9.85546875" style="1" customWidth="1"/>
    <col min="3338" max="3338" width="8.140625" style="1" customWidth="1"/>
    <col min="3339" max="3340" width="8.42578125" style="1" customWidth="1"/>
    <col min="3341" max="3342" width="9" style="1" customWidth="1"/>
    <col min="3343" max="3345" width="0" style="1" hidden="1" customWidth="1"/>
    <col min="3346" max="3346" width="9.85546875" style="1" customWidth="1"/>
    <col min="3347" max="3348" width="10.5703125" style="1" customWidth="1"/>
    <col min="3349" max="3349" width="10" style="1" customWidth="1"/>
    <col min="3350" max="3350" width="10.5703125" style="1" customWidth="1"/>
    <col min="3351" max="3351" width="9.28515625" style="1" customWidth="1"/>
    <col min="3352" max="3352" width="8.5703125" style="1" customWidth="1"/>
    <col min="3353" max="3587" width="9.140625" style="1"/>
    <col min="3588" max="3588" width="5.85546875" style="1" customWidth="1"/>
    <col min="3589" max="3589" width="25" style="1" customWidth="1"/>
    <col min="3590" max="3590" width="10" style="1" bestFit="1" customWidth="1"/>
    <col min="3591" max="3591" width="9.85546875" style="1" customWidth="1"/>
    <col min="3592" max="3592" width="10" style="1" bestFit="1" customWidth="1"/>
    <col min="3593" max="3593" width="9.85546875" style="1" customWidth="1"/>
    <col min="3594" max="3594" width="8.140625" style="1" customWidth="1"/>
    <col min="3595" max="3596" width="8.42578125" style="1" customWidth="1"/>
    <col min="3597" max="3598" width="9" style="1" customWidth="1"/>
    <col min="3599" max="3601" width="0" style="1" hidden="1" customWidth="1"/>
    <col min="3602" max="3602" width="9.85546875" style="1" customWidth="1"/>
    <col min="3603" max="3604" width="10.5703125" style="1" customWidth="1"/>
    <col min="3605" max="3605" width="10" style="1" customWidth="1"/>
    <col min="3606" max="3606" width="10.5703125" style="1" customWidth="1"/>
    <col min="3607" max="3607" width="9.28515625" style="1" customWidth="1"/>
    <col min="3608" max="3608" width="8.5703125" style="1" customWidth="1"/>
    <col min="3609" max="3843" width="9.140625" style="1"/>
    <col min="3844" max="3844" width="5.85546875" style="1" customWidth="1"/>
    <col min="3845" max="3845" width="25" style="1" customWidth="1"/>
    <col min="3846" max="3846" width="10" style="1" bestFit="1" customWidth="1"/>
    <col min="3847" max="3847" width="9.85546875" style="1" customWidth="1"/>
    <col min="3848" max="3848" width="10" style="1" bestFit="1" customWidth="1"/>
    <col min="3849" max="3849" width="9.85546875" style="1" customWidth="1"/>
    <col min="3850" max="3850" width="8.140625" style="1" customWidth="1"/>
    <col min="3851" max="3852" width="8.42578125" style="1" customWidth="1"/>
    <col min="3853" max="3854" width="9" style="1" customWidth="1"/>
    <col min="3855" max="3857" width="0" style="1" hidden="1" customWidth="1"/>
    <col min="3858" max="3858" width="9.85546875" style="1" customWidth="1"/>
    <col min="3859" max="3860" width="10.5703125" style="1" customWidth="1"/>
    <col min="3861" max="3861" width="10" style="1" customWidth="1"/>
    <col min="3862" max="3862" width="10.5703125" style="1" customWidth="1"/>
    <col min="3863" max="3863" width="9.28515625" style="1" customWidth="1"/>
    <col min="3864" max="3864" width="8.5703125" style="1" customWidth="1"/>
    <col min="3865" max="4099" width="9.140625" style="1"/>
    <col min="4100" max="4100" width="5.85546875" style="1" customWidth="1"/>
    <col min="4101" max="4101" width="25" style="1" customWidth="1"/>
    <col min="4102" max="4102" width="10" style="1" bestFit="1" customWidth="1"/>
    <col min="4103" max="4103" width="9.85546875" style="1" customWidth="1"/>
    <col min="4104" max="4104" width="10" style="1" bestFit="1" customWidth="1"/>
    <col min="4105" max="4105" width="9.85546875" style="1" customWidth="1"/>
    <col min="4106" max="4106" width="8.140625" style="1" customWidth="1"/>
    <col min="4107" max="4108" width="8.42578125" style="1" customWidth="1"/>
    <col min="4109" max="4110" width="9" style="1" customWidth="1"/>
    <col min="4111" max="4113" width="0" style="1" hidden="1" customWidth="1"/>
    <col min="4114" max="4114" width="9.85546875" style="1" customWidth="1"/>
    <col min="4115" max="4116" width="10.5703125" style="1" customWidth="1"/>
    <col min="4117" max="4117" width="10" style="1" customWidth="1"/>
    <col min="4118" max="4118" width="10.5703125" style="1" customWidth="1"/>
    <col min="4119" max="4119" width="9.28515625" style="1" customWidth="1"/>
    <col min="4120" max="4120" width="8.5703125" style="1" customWidth="1"/>
    <col min="4121" max="4355" width="9.140625" style="1"/>
    <col min="4356" max="4356" width="5.85546875" style="1" customWidth="1"/>
    <col min="4357" max="4357" width="25" style="1" customWidth="1"/>
    <col min="4358" max="4358" width="10" style="1" bestFit="1" customWidth="1"/>
    <col min="4359" max="4359" width="9.85546875" style="1" customWidth="1"/>
    <col min="4360" max="4360" width="10" style="1" bestFit="1" customWidth="1"/>
    <col min="4361" max="4361" width="9.85546875" style="1" customWidth="1"/>
    <col min="4362" max="4362" width="8.140625" style="1" customWidth="1"/>
    <col min="4363" max="4364" width="8.42578125" style="1" customWidth="1"/>
    <col min="4365" max="4366" width="9" style="1" customWidth="1"/>
    <col min="4367" max="4369" width="0" style="1" hidden="1" customWidth="1"/>
    <col min="4370" max="4370" width="9.85546875" style="1" customWidth="1"/>
    <col min="4371" max="4372" width="10.5703125" style="1" customWidth="1"/>
    <col min="4373" max="4373" width="10" style="1" customWidth="1"/>
    <col min="4374" max="4374" width="10.5703125" style="1" customWidth="1"/>
    <col min="4375" max="4375" width="9.28515625" style="1" customWidth="1"/>
    <col min="4376" max="4376" width="8.5703125" style="1" customWidth="1"/>
    <col min="4377" max="4611" width="9.140625" style="1"/>
    <col min="4612" max="4612" width="5.85546875" style="1" customWidth="1"/>
    <col min="4613" max="4613" width="25" style="1" customWidth="1"/>
    <col min="4614" max="4614" width="10" style="1" bestFit="1" customWidth="1"/>
    <col min="4615" max="4615" width="9.85546875" style="1" customWidth="1"/>
    <col min="4616" max="4616" width="10" style="1" bestFit="1" customWidth="1"/>
    <col min="4617" max="4617" width="9.85546875" style="1" customWidth="1"/>
    <col min="4618" max="4618" width="8.140625" style="1" customWidth="1"/>
    <col min="4619" max="4620" width="8.42578125" style="1" customWidth="1"/>
    <col min="4621" max="4622" width="9" style="1" customWidth="1"/>
    <col min="4623" max="4625" width="0" style="1" hidden="1" customWidth="1"/>
    <col min="4626" max="4626" width="9.85546875" style="1" customWidth="1"/>
    <col min="4627" max="4628" width="10.5703125" style="1" customWidth="1"/>
    <col min="4629" max="4629" width="10" style="1" customWidth="1"/>
    <col min="4630" max="4630" width="10.5703125" style="1" customWidth="1"/>
    <col min="4631" max="4631" width="9.28515625" style="1" customWidth="1"/>
    <col min="4632" max="4632" width="8.5703125" style="1" customWidth="1"/>
    <col min="4633" max="4867" width="9.140625" style="1"/>
    <col min="4868" max="4868" width="5.85546875" style="1" customWidth="1"/>
    <col min="4869" max="4869" width="25" style="1" customWidth="1"/>
    <col min="4870" max="4870" width="10" style="1" bestFit="1" customWidth="1"/>
    <col min="4871" max="4871" width="9.85546875" style="1" customWidth="1"/>
    <col min="4872" max="4872" width="10" style="1" bestFit="1" customWidth="1"/>
    <col min="4873" max="4873" width="9.85546875" style="1" customWidth="1"/>
    <col min="4874" max="4874" width="8.140625" style="1" customWidth="1"/>
    <col min="4875" max="4876" width="8.42578125" style="1" customWidth="1"/>
    <col min="4877" max="4878" width="9" style="1" customWidth="1"/>
    <col min="4879" max="4881" width="0" style="1" hidden="1" customWidth="1"/>
    <col min="4882" max="4882" width="9.85546875" style="1" customWidth="1"/>
    <col min="4883" max="4884" width="10.5703125" style="1" customWidth="1"/>
    <col min="4885" max="4885" width="10" style="1" customWidth="1"/>
    <col min="4886" max="4886" width="10.5703125" style="1" customWidth="1"/>
    <col min="4887" max="4887" width="9.28515625" style="1" customWidth="1"/>
    <col min="4888" max="4888" width="8.5703125" style="1" customWidth="1"/>
    <col min="4889" max="5123" width="9.140625" style="1"/>
    <col min="5124" max="5124" width="5.85546875" style="1" customWidth="1"/>
    <col min="5125" max="5125" width="25" style="1" customWidth="1"/>
    <col min="5126" max="5126" width="10" style="1" bestFit="1" customWidth="1"/>
    <col min="5127" max="5127" width="9.85546875" style="1" customWidth="1"/>
    <col min="5128" max="5128" width="10" style="1" bestFit="1" customWidth="1"/>
    <col min="5129" max="5129" width="9.85546875" style="1" customWidth="1"/>
    <col min="5130" max="5130" width="8.140625" style="1" customWidth="1"/>
    <col min="5131" max="5132" width="8.42578125" style="1" customWidth="1"/>
    <col min="5133" max="5134" width="9" style="1" customWidth="1"/>
    <col min="5135" max="5137" width="0" style="1" hidden="1" customWidth="1"/>
    <col min="5138" max="5138" width="9.85546875" style="1" customWidth="1"/>
    <col min="5139" max="5140" width="10.5703125" style="1" customWidth="1"/>
    <col min="5141" max="5141" width="10" style="1" customWidth="1"/>
    <col min="5142" max="5142" width="10.5703125" style="1" customWidth="1"/>
    <col min="5143" max="5143" width="9.28515625" style="1" customWidth="1"/>
    <col min="5144" max="5144" width="8.5703125" style="1" customWidth="1"/>
    <col min="5145" max="5379" width="9.140625" style="1"/>
    <col min="5380" max="5380" width="5.85546875" style="1" customWidth="1"/>
    <col min="5381" max="5381" width="25" style="1" customWidth="1"/>
    <col min="5382" max="5382" width="10" style="1" bestFit="1" customWidth="1"/>
    <col min="5383" max="5383" width="9.85546875" style="1" customWidth="1"/>
    <col min="5384" max="5384" width="10" style="1" bestFit="1" customWidth="1"/>
    <col min="5385" max="5385" width="9.85546875" style="1" customWidth="1"/>
    <col min="5386" max="5386" width="8.140625" style="1" customWidth="1"/>
    <col min="5387" max="5388" width="8.42578125" style="1" customWidth="1"/>
    <col min="5389" max="5390" width="9" style="1" customWidth="1"/>
    <col min="5391" max="5393" width="0" style="1" hidden="1" customWidth="1"/>
    <col min="5394" max="5394" width="9.85546875" style="1" customWidth="1"/>
    <col min="5395" max="5396" width="10.5703125" style="1" customWidth="1"/>
    <col min="5397" max="5397" width="10" style="1" customWidth="1"/>
    <col min="5398" max="5398" width="10.5703125" style="1" customWidth="1"/>
    <col min="5399" max="5399" width="9.28515625" style="1" customWidth="1"/>
    <col min="5400" max="5400" width="8.5703125" style="1" customWidth="1"/>
    <col min="5401" max="5635" width="9.140625" style="1"/>
    <col min="5636" max="5636" width="5.85546875" style="1" customWidth="1"/>
    <col min="5637" max="5637" width="25" style="1" customWidth="1"/>
    <col min="5638" max="5638" width="10" style="1" bestFit="1" customWidth="1"/>
    <col min="5639" max="5639" width="9.85546875" style="1" customWidth="1"/>
    <col min="5640" max="5640" width="10" style="1" bestFit="1" customWidth="1"/>
    <col min="5641" max="5641" width="9.85546875" style="1" customWidth="1"/>
    <col min="5642" max="5642" width="8.140625" style="1" customWidth="1"/>
    <col min="5643" max="5644" width="8.42578125" style="1" customWidth="1"/>
    <col min="5645" max="5646" width="9" style="1" customWidth="1"/>
    <col min="5647" max="5649" width="0" style="1" hidden="1" customWidth="1"/>
    <col min="5650" max="5650" width="9.85546875" style="1" customWidth="1"/>
    <col min="5651" max="5652" width="10.5703125" style="1" customWidth="1"/>
    <col min="5653" max="5653" width="10" style="1" customWidth="1"/>
    <col min="5654" max="5654" width="10.5703125" style="1" customWidth="1"/>
    <col min="5655" max="5655" width="9.28515625" style="1" customWidth="1"/>
    <col min="5656" max="5656" width="8.5703125" style="1" customWidth="1"/>
    <col min="5657" max="5891" width="9.140625" style="1"/>
    <col min="5892" max="5892" width="5.85546875" style="1" customWidth="1"/>
    <col min="5893" max="5893" width="25" style="1" customWidth="1"/>
    <col min="5894" max="5894" width="10" style="1" bestFit="1" customWidth="1"/>
    <col min="5895" max="5895" width="9.85546875" style="1" customWidth="1"/>
    <col min="5896" max="5896" width="10" style="1" bestFit="1" customWidth="1"/>
    <col min="5897" max="5897" width="9.85546875" style="1" customWidth="1"/>
    <col min="5898" max="5898" width="8.140625" style="1" customWidth="1"/>
    <col min="5899" max="5900" width="8.42578125" style="1" customWidth="1"/>
    <col min="5901" max="5902" width="9" style="1" customWidth="1"/>
    <col min="5903" max="5905" width="0" style="1" hidden="1" customWidth="1"/>
    <col min="5906" max="5906" width="9.85546875" style="1" customWidth="1"/>
    <col min="5907" max="5908" width="10.5703125" style="1" customWidth="1"/>
    <col min="5909" max="5909" width="10" style="1" customWidth="1"/>
    <col min="5910" max="5910" width="10.5703125" style="1" customWidth="1"/>
    <col min="5911" max="5911" width="9.28515625" style="1" customWidth="1"/>
    <col min="5912" max="5912" width="8.5703125" style="1" customWidth="1"/>
    <col min="5913" max="6147" width="9.140625" style="1"/>
    <col min="6148" max="6148" width="5.85546875" style="1" customWidth="1"/>
    <col min="6149" max="6149" width="25" style="1" customWidth="1"/>
    <col min="6150" max="6150" width="10" style="1" bestFit="1" customWidth="1"/>
    <col min="6151" max="6151" width="9.85546875" style="1" customWidth="1"/>
    <col min="6152" max="6152" width="10" style="1" bestFit="1" customWidth="1"/>
    <col min="6153" max="6153" width="9.85546875" style="1" customWidth="1"/>
    <col min="6154" max="6154" width="8.140625" style="1" customWidth="1"/>
    <col min="6155" max="6156" width="8.42578125" style="1" customWidth="1"/>
    <col min="6157" max="6158" width="9" style="1" customWidth="1"/>
    <col min="6159" max="6161" width="0" style="1" hidden="1" customWidth="1"/>
    <col min="6162" max="6162" width="9.85546875" style="1" customWidth="1"/>
    <col min="6163" max="6164" width="10.5703125" style="1" customWidth="1"/>
    <col min="6165" max="6165" width="10" style="1" customWidth="1"/>
    <col min="6166" max="6166" width="10.5703125" style="1" customWidth="1"/>
    <col min="6167" max="6167" width="9.28515625" style="1" customWidth="1"/>
    <col min="6168" max="6168" width="8.5703125" style="1" customWidth="1"/>
    <col min="6169" max="6403" width="9.140625" style="1"/>
    <col min="6404" max="6404" width="5.85546875" style="1" customWidth="1"/>
    <col min="6405" max="6405" width="25" style="1" customWidth="1"/>
    <col min="6406" max="6406" width="10" style="1" bestFit="1" customWidth="1"/>
    <col min="6407" max="6407" width="9.85546875" style="1" customWidth="1"/>
    <col min="6408" max="6408" width="10" style="1" bestFit="1" customWidth="1"/>
    <col min="6409" max="6409" width="9.85546875" style="1" customWidth="1"/>
    <col min="6410" max="6410" width="8.140625" style="1" customWidth="1"/>
    <col min="6411" max="6412" width="8.42578125" style="1" customWidth="1"/>
    <col min="6413" max="6414" width="9" style="1" customWidth="1"/>
    <col min="6415" max="6417" width="0" style="1" hidden="1" customWidth="1"/>
    <col min="6418" max="6418" width="9.85546875" style="1" customWidth="1"/>
    <col min="6419" max="6420" width="10.5703125" style="1" customWidth="1"/>
    <col min="6421" max="6421" width="10" style="1" customWidth="1"/>
    <col min="6422" max="6422" width="10.5703125" style="1" customWidth="1"/>
    <col min="6423" max="6423" width="9.28515625" style="1" customWidth="1"/>
    <col min="6424" max="6424" width="8.5703125" style="1" customWidth="1"/>
    <col min="6425" max="6659" width="9.140625" style="1"/>
    <col min="6660" max="6660" width="5.85546875" style="1" customWidth="1"/>
    <col min="6661" max="6661" width="25" style="1" customWidth="1"/>
    <col min="6662" max="6662" width="10" style="1" bestFit="1" customWidth="1"/>
    <col min="6663" max="6663" width="9.85546875" style="1" customWidth="1"/>
    <col min="6664" max="6664" width="10" style="1" bestFit="1" customWidth="1"/>
    <col min="6665" max="6665" width="9.85546875" style="1" customWidth="1"/>
    <col min="6666" max="6666" width="8.140625" style="1" customWidth="1"/>
    <col min="6667" max="6668" width="8.42578125" style="1" customWidth="1"/>
    <col min="6669" max="6670" width="9" style="1" customWidth="1"/>
    <col min="6671" max="6673" width="0" style="1" hidden="1" customWidth="1"/>
    <col min="6674" max="6674" width="9.85546875" style="1" customWidth="1"/>
    <col min="6675" max="6676" width="10.5703125" style="1" customWidth="1"/>
    <col min="6677" max="6677" width="10" style="1" customWidth="1"/>
    <col min="6678" max="6678" width="10.5703125" style="1" customWidth="1"/>
    <col min="6679" max="6679" width="9.28515625" style="1" customWidth="1"/>
    <col min="6680" max="6680" width="8.5703125" style="1" customWidth="1"/>
    <col min="6681" max="6915" width="9.140625" style="1"/>
    <col min="6916" max="6916" width="5.85546875" style="1" customWidth="1"/>
    <col min="6917" max="6917" width="25" style="1" customWidth="1"/>
    <col min="6918" max="6918" width="10" style="1" bestFit="1" customWidth="1"/>
    <col min="6919" max="6919" width="9.85546875" style="1" customWidth="1"/>
    <col min="6920" max="6920" width="10" style="1" bestFit="1" customWidth="1"/>
    <col min="6921" max="6921" width="9.85546875" style="1" customWidth="1"/>
    <col min="6922" max="6922" width="8.140625" style="1" customWidth="1"/>
    <col min="6923" max="6924" width="8.42578125" style="1" customWidth="1"/>
    <col min="6925" max="6926" width="9" style="1" customWidth="1"/>
    <col min="6927" max="6929" width="0" style="1" hidden="1" customWidth="1"/>
    <col min="6930" max="6930" width="9.85546875" style="1" customWidth="1"/>
    <col min="6931" max="6932" width="10.5703125" style="1" customWidth="1"/>
    <col min="6933" max="6933" width="10" style="1" customWidth="1"/>
    <col min="6934" max="6934" width="10.5703125" style="1" customWidth="1"/>
    <col min="6935" max="6935" width="9.28515625" style="1" customWidth="1"/>
    <col min="6936" max="6936" width="8.5703125" style="1" customWidth="1"/>
    <col min="6937" max="7171" width="9.140625" style="1"/>
    <col min="7172" max="7172" width="5.85546875" style="1" customWidth="1"/>
    <col min="7173" max="7173" width="25" style="1" customWidth="1"/>
    <col min="7174" max="7174" width="10" style="1" bestFit="1" customWidth="1"/>
    <col min="7175" max="7175" width="9.85546875" style="1" customWidth="1"/>
    <col min="7176" max="7176" width="10" style="1" bestFit="1" customWidth="1"/>
    <col min="7177" max="7177" width="9.85546875" style="1" customWidth="1"/>
    <col min="7178" max="7178" width="8.140625" style="1" customWidth="1"/>
    <col min="7179" max="7180" width="8.42578125" style="1" customWidth="1"/>
    <col min="7181" max="7182" width="9" style="1" customWidth="1"/>
    <col min="7183" max="7185" width="0" style="1" hidden="1" customWidth="1"/>
    <col min="7186" max="7186" width="9.85546875" style="1" customWidth="1"/>
    <col min="7187" max="7188" width="10.5703125" style="1" customWidth="1"/>
    <col min="7189" max="7189" width="10" style="1" customWidth="1"/>
    <col min="7190" max="7190" width="10.5703125" style="1" customWidth="1"/>
    <col min="7191" max="7191" width="9.28515625" style="1" customWidth="1"/>
    <col min="7192" max="7192" width="8.5703125" style="1" customWidth="1"/>
    <col min="7193" max="7427" width="9.140625" style="1"/>
    <col min="7428" max="7428" width="5.85546875" style="1" customWidth="1"/>
    <col min="7429" max="7429" width="25" style="1" customWidth="1"/>
    <col min="7430" max="7430" width="10" style="1" bestFit="1" customWidth="1"/>
    <col min="7431" max="7431" width="9.85546875" style="1" customWidth="1"/>
    <col min="7432" max="7432" width="10" style="1" bestFit="1" customWidth="1"/>
    <col min="7433" max="7433" width="9.85546875" style="1" customWidth="1"/>
    <col min="7434" max="7434" width="8.140625" style="1" customWidth="1"/>
    <col min="7435" max="7436" width="8.42578125" style="1" customWidth="1"/>
    <col min="7437" max="7438" width="9" style="1" customWidth="1"/>
    <col min="7439" max="7441" width="0" style="1" hidden="1" customWidth="1"/>
    <col min="7442" max="7442" width="9.85546875" style="1" customWidth="1"/>
    <col min="7443" max="7444" width="10.5703125" style="1" customWidth="1"/>
    <col min="7445" max="7445" width="10" style="1" customWidth="1"/>
    <col min="7446" max="7446" width="10.5703125" style="1" customWidth="1"/>
    <col min="7447" max="7447" width="9.28515625" style="1" customWidth="1"/>
    <col min="7448" max="7448" width="8.5703125" style="1" customWidth="1"/>
    <col min="7449" max="7683" width="9.140625" style="1"/>
    <col min="7684" max="7684" width="5.85546875" style="1" customWidth="1"/>
    <col min="7685" max="7685" width="25" style="1" customWidth="1"/>
    <col min="7686" max="7686" width="10" style="1" bestFit="1" customWidth="1"/>
    <col min="7687" max="7687" width="9.85546875" style="1" customWidth="1"/>
    <col min="7688" max="7688" width="10" style="1" bestFit="1" customWidth="1"/>
    <col min="7689" max="7689" width="9.85546875" style="1" customWidth="1"/>
    <col min="7690" max="7690" width="8.140625" style="1" customWidth="1"/>
    <col min="7691" max="7692" width="8.42578125" style="1" customWidth="1"/>
    <col min="7693" max="7694" width="9" style="1" customWidth="1"/>
    <col min="7695" max="7697" width="0" style="1" hidden="1" customWidth="1"/>
    <col min="7698" max="7698" width="9.85546875" style="1" customWidth="1"/>
    <col min="7699" max="7700" width="10.5703125" style="1" customWidth="1"/>
    <col min="7701" max="7701" width="10" style="1" customWidth="1"/>
    <col min="7702" max="7702" width="10.5703125" style="1" customWidth="1"/>
    <col min="7703" max="7703" width="9.28515625" style="1" customWidth="1"/>
    <col min="7704" max="7704" width="8.5703125" style="1" customWidth="1"/>
    <col min="7705" max="7939" width="9.140625" style="1"/>
    <col min="7940" max="7940" width="5.85546875" style="1" customWidth="1"/>
    <col min="7941" max="7941" width="25" style="1" customWidth="1"/>
    <col min="7942" max="7942" width="10" style="1" bestFit="1" customWidth="1"/>
    <col min="7943" max="7943" width="9.85546875" style="1" customWidth="1"/>
    <col min="7944" max="7944" width="10" style="1" bestFit="1" customWidth="1"/>
    <col min="7945" max="7945" width="9.85546875" style="1" customWidth="1"/>
    <col min="7946" max="7946" width="8.140625" style="1" customWidth="1"/>
    <col min="7947" max="7948" width="8.42578125" style="1" customWidth="1"/>
    <col min="7949" max="7950" width="9" style="1" customWidth="1"/>
    <col min="7951" max="7953" width="0" style="1" hidden="1" customWidth="1"/>
    <col min="7954" max="7954" width="9.85546875" style="1" customWidth="1"/>
    <col min="7955" max="7956" width="10.5703125" style="1" customWidth="1"/>
    <col min="7957" max="7957" width="10" style="1" customWidth="1"/>
    <col min="7958" max="7958" width="10.5703125" style="1" customWidth="1"/>
    <col min="7959" max="7959" width="9.28515625" style="1" customWidth="1"/>
    <col min="7960" max="7960" width="8.5703125" style="1" customWidth="1"/>
    <col min="7961" max="8195" width="9.140625" style="1"/>
    <col min="8196" max="8196" width="5.85546875" style="1" customWidth="1"/>
    <col min="8197" max="8197" width="25" style="1" customWidth="1"/>
    <col min="8198" max="8198" width="10" style="1" bestFit="1" customWidth="1"/>
    <col min="8199" max="8199" width="9.85546875" style="1" customWidth="1"/>
    <col min="8200" max="8200" width="10" style="1" bestFit="1" customWidth="1"/>
    <col min="8201" max="8201" width="9.85546875" style="1" customWidth="1"/>
    <col min="8202" max="8202" width="8.140625" style="1" customWidth="1"/>
    <col min="8203" max="8204" width="8.42578125" style="1" customWidth="1"/>
    <col min="8205" max="8206" width="9" style="1" customWidth="1"/>
    <col min="8207" max="8209" width="0" style="1" hidden="1" customWidth="1"/>
    <col min="8210" max="8210" width="9.85546875" style="1" customWidth="1"/>
    <col min="8211" max="8212" width="10.5703125" style="1" customWidth="1"/>
    <col min="8213" max="8213" width="10" style="1" customWidth="1"/>
    <col min="8214" max="8214" width="10.5703125" style="1" customWidth="1"/>
    <col min="8215" max="8215" width="9.28515625" style="1" customWidth="1"/>
    <col min="8216" max="8216" width="8.5703125" style="1" customWidth="1"/>
    <col min="8217" max="8451" width="9.140625" style="1"/>
    <col min="8452" max="8452" width="5.85546875" style="1" customWidth="1"/>
    <col min="8453" max="8453" width="25" style="1" customWidth="1"/>
    <col min="8454" max="8454" width="10" style="1" bestFit="1" customWidth="1"/>
    <col min="8455" max="8455" width="9.85546875" style="1" customWidth="1"/>
    <col min="8456" max="8456" width="10" style="1" bestFit="1" customWidth="1"/>
    <col min="8457" max="8457" width="9.85546875" style="1" customWidth="1"/>
    <col min="8458" max="8458" width="8.140625" style="1" customWidth="1"/>
    <col min="8459" max="8460" width="8.42578125" style="1" customWidth="1"/>
    <col min="8461" max="8462" width="9" style="1" customWidth="1"/>
    <col min="8463" max="8465" width="0" style="1" hidden="1" customWidth="1"/>
    <col min="8466" max="8466" width="9.85546875" style="1" customWidth="1"/>
    <col min="8467" max="8468" width="10.5703125" style="1" customWidth="1"/>
    <col min="8469" max="8469" width="10" style="1" customWidth="1"/>
    <col min="8470" max="8470" width="10.5703125" style="1" customWidth="1"/>
    <col min="8471" max="8471" width="9.28515625" style="1" customWidth="1"/>
    <col min="8472" max="8472" width="8.5703125" style="1" customWidth="1"/>
    <col min="8473" max="8707" width="9.140625" style="1"/>
    <col min="8708" max="8708" width="5.85546875" style="1" customWidth="1"/>
    <col min="8709" max="8709" width="25" style="1" customWidth="1"/>
    <col min="8710" max="8710" width="10" style="1" bestFit="1" customWidth="1"/>
    <col min="8711" max="8711" width="9.85546875" style="1" customWidth="1"/>
    <col min="8712" max="8712" width="10" style="1" bestFit="1" customWidth="1"/>
    <col min="8713" max="8713" width="9.85546875" style="1" customWidth="1"/>
    <col min="8714" max="8714" width="8.140625" style="1" customWidth="1"/>
    <col min="8715" max="8716" width="8.42578125" style="1" customWidth="1"/>
    <col min="8717" max="8718" width="9" style="1" customWidth="1"/>
    <col min="8719" max="8721" width="0" style="1" hidden="1" customWidth="1"/>
    <col min="8722" max="8722" width="9.85546875" style="1" customWidth="1"/>
    <col min="8723" max="8724" width="10.5703125" style="1" customWidth="1"/>
    <col min="8725" max="8725" width="10" style="1" customWidth="1"/>
    <col min="8726" max="8726" width="10.5703125" style="1" customWidth="1"/>
    <col min="8727" max="8727" width="9.28515625" style="1" customWidth="1"/>
    <col min="8728" max="8728" width="8.5703125" style="1" customWidth="1"/>
    <col min="8729" max="8963" width="9.140625" style="1"/>
    <col min="8964" max="8964" width="5.85546875" style="1" customWidth="1"/>
    <col min="8965" max="8965" width="25" style="1" customWidth="1"/>
    <col min="8966" max="8966" width="10" style="1" bestFit="1" customWidth="1"/>
    <col min="8967" max="8967" width="9.85546875" style="1" customWidth="1"/>
    <col min="8968" max="8968" width="10" style="1" bestFit="1" customWidth="1"/>
    <col min="8969" max="8969" width="9.85546875" style="1" customWidth="1"/>
    <col min="8970" max="8970" width="8.140625" style="1" customWidth="1"/>
    <col min="8971" max="8972" width="8.42578125" style="1" customWidth="1"/>
    <col min="8973" max="8974" width="9" style="1" customWidth="1"/>
    <col min="8975" max="8977" width="0" style="1" hidden="1" customWidth="1"/>
    <col min="8978" max="8978" width="9.85546875" style="1" customWidth="1"/>
    <col min="8979" max="8980" width="10.5703125" style="1" customWidth="1"/>
    <col min="8981" max="8981" width="10" style="1" customWidth="1"/>
    <col min="8982" max="8982" width="10.5703125" style="1" customWidth="1"/>
    <col min="8983" max="8983" width="9.28515625" style="1" customWidth="1"/>
    <col min="8984" max="8984" width="8.5703125" style="1" customWidth="1"/>
    <col min="8985" max="9219" width="9.140625" style="1"/>
    <col min="9220" max="9220" width="5.85546875" style="1" customWidth="1"/>
    <col min="9221" max="9221" width="25" style="1" customWidth="1"/>
    <col min="9222" max="9222" width="10" style="1" bestFit="1" customWidth="1"/>
    <col min="9223" max="9223" width="9.85546875" style="1" customWidth="1"/>
    <col min="9224" max="9224" width="10" style="1" bestFit="1" customWidth="1"/>
    <col min="9225" max="9225" width="9.85546875" style="1" customWidth="1"/>
    <col min="9226" max="9226" width="8.140625" style="1" customWidth="1"/>
    <col min="9227" max="9228" width="8.42578125" style="1" customWidth="1"/>
    <col min="9229" max="9230" width="9" style="1" customWidth="1"/>
    <col min="9231" max="9233" width="0" style="1" hidden="1" customWidth="1"/>
    <col min="9234" max="9234" width="9.85546875" style="1" customWidth="1"/>
    <col min="9235" max="9236" width="10.5703125" style="1" customWidth="1"/>
    <col min="9237" max="9237" width="10" style="1" customWidth="1"/>
    <col min="9238" max="9238" width="10.5703125" style="1" customWidth="1"/>
    <col min="9239" max="9239" width="9.28515625" style="1" customWidth="1"/>
    <col min="9240" max="9240" width="8.5703125" style="1" customWidth="1"/>
    <col min="9241" max="9475" width="9.140625" style="1"/>
    <col min="9476" max="9476" width="5.85546875" style="1" customWidth="1"/>
    <col min="9477" max="9477" width="25" style="1" customWidth="1"/>
    <col min="9478" max="9478" width="10" style="1" bestFit="1" customWidth="1"/>
    <col min="9479" max="9479" width="9.85546875" style="1" customWidth="1"/>
    <col min="9480" max="9480" width="10" style="1" bestFit="1" customWidth="1"/>
    <col min="9481" max="9481" width="9.85546875" style="1" customWidth="1"/>
    <col min="9482" max="9482" width="8.140625" style="1" customWidth="1"/>
    <col min="9483" max="9484" width="8.42578125" style="1" customWidth="1"/>
    <col min="9485" max="9486" width="9" style="1" customWidth="1"/>
    <col min="9487" max="9489" width="0" style="1" hidden="1" customWidth="1"/>
    <col min="9490" max="9490" width="9.85546875" style="1" customWidth="1"/>
    <col min="9491" max="9492" width="10.5703125" style="1" customWidth="1"/>
    <col min="9493" max="9493" width="10" style="1" customWidth="1"/>
    <col min="9494" max="9494" width="10.5703125" style="1" customWidth="1"/>
    <col min="9495" max="9495" width="9.28515625" style="1" customWidth="1"/>
    <col min="9496" max="9496" width="8.5703125" style="1" customWidth="1"/>
    <col min="9497" max="9731" width="9.140625" style="1"/>
    <col min="9732" max="9732" width="5.85546875" style="1" customWidth="1"/>
    <col min="9733" max="9733" width="25" style="1" customWidth="1"/>
    <col min="9734" max="9734" width="10" style="1" bestFit="1" customWidth="1"/>
    <col min="9735" max="9735" width="9.85546875" style="1" customWidth="1"/>
    <col min="9736" max="9736" width="10" style="1" bestFit="1" customWidth="1"/>
    <col min="9737" max="9737" width="9.85546875" style="1" customWidth="1"/>
    <col min="9738" max="9738" width="8.140625" style="1" customWidth="1"/>
    <col min="9739" max="9740" width="8.42578125" style="1" customWidth="1"/>
    <col min="9741" max="9742" width="9" style="1" customWidth="1"/>
    <col min="9743" max="9745" width="0" style="1" hidden="1" customWidth="1"/>
    <col min="9746" max="9746" width="9.85546875" style="1" customWidth="1"/>
    <col min="9747" max="9748" width="10.5703125" style="1" customWidth="1"/>
    <col min="9749" max="9749" width="10" style="1" customWidth="1"/>
    <col min="9750" max="9750" width="10.5703125" style="1" customWidth="1"/>
    <col min="9751" max="9751" width="9.28515625" style="1" customWidth="1"/>
    <col min="9752" max="9752" width="8.5703125" style="1" customWidth="1"/>
    <col min="9753" max="9987" width="9.140625" style="1"/>
    <col min="9988" max="9988" width="5.85546875" style="1" customWidth="1"/>
    <col min="9989" max="9989" width="25" style="1" customWidth="1"/>
    <col min="9990" max="9990" width="10" style="1" bestFit="1" customWidth="1"/>
    <col min="9991" max="9991" width="9.85546875" style="1" customWidth="1"/>
    <col min="9992" max="9992" width="10" style="1" bestFit="1" customWidth="1"/>
    <col min="9993" max="9993" width="9.85546875" style="1" customWidth="1"/>
    <col min="9994" max="9994" width="8.140625" style="1" customWidth="1"/>
    <col min="9995" max="9996" width="8.42578125" style="1" customWidth="1"/>
    <col min="9997" max="9998" width="9" style="1" customWidth="1"/>
    <col min="9999" max="10001" width="0" style="1" hidden="1" customWidth="1"/>
    <col min="10002" max="10002" width="9.85546875" style="1" customWidth="1"/>
    <col min="10003" max="10004" width="10.5703125" style="1" customWidth="1"/>
    <col min="10005" max="10005" width="10" style="1" customWidth="1"/>
    <col min="10006" max="10006" width="10.5703125" style="1" customWidth="1"/>
    <col min="10007" max="10007" width="9.28515625" style="1" customWidth="1"/>
    <col min="10008" max="10008" width="8.5703125" style="1" customWidth="1"/>
    <col min="10009" max="10243" width="9.140625" style="1"/>
    <col min="10244" max="10244" width="5.85546875" style="1" customWidth="1"/>
    <col min="10245" max="10245" width="25" style="1" customWidth="1"/>
    <col min="10246" max="10246" width="10" style="1" bestFit="1" customWidth="1"/>
    <col min="10247" max="10247" width="9.85546875" style="1" customWidth="1"/>
    <col min="10248" max="10248" width="10" style="1" bestFit="1" customWidth="1"/>
    <col min="10249" max="10249" width="9.85546875" style="1" customWidth="1"/>
    <col min="10250" max="10250" width="8.140625" style="1" customWidth="1"/>
    <col min="10251" max="10252" width="8.42578125" style="1" customWidth="1"/>
    <col min="10253" max="10254" width="9" style="1" customWidth="1"/>
    <col min="10255" max="10257" width="0" style="1" hidden="1" customWidth="1"/>
    <col min="10258" max="10258" width="9.85546875" style="1" customWidth="1"/>
    <col min="10259" max="10260" width="10.5703125" style="1" customWidth="1"/>
    <col min="10261" max="10261" width="10" style="1" customWidth="1"/>
    <col min="10262" max="10262" width="10.5703125" style="1" customWidth="1"/>
    <col min="10263" max="10263" width="9.28515625" style="1" customWidth="1"/>
    <col min="10264" max="10264" width="8.5703125" style="1" customWidth="1"/>
    <col min="10265" max="10499" width="9.140625" style="1"/>
    <col min="10500" max="10500" width="5.85546875" style="1" customWidth="1"/>
    <col min="10501" max="10501" width="25" style="1" customWidth="1"/>
    <col min="10502" max="10502" width="10" style="1" bestFit="1" customWidth="1"/>
    <col min="10503" max="10503" width="9.85546875" style="1" customWidth="1"/>
    <col min="10504" max="10504" width="10" style="1" bestFit="1" customWidth="1"/>
    <col min="10505" max="10505" width="9.85546875" style="1" customWidth="1"/>
    <col min="10506" max="10506" width="8.140625" style="1" customWidth="1"/>
    <col min="10507" max="10508" width="8.42578125" style="1" customWidth="1"/>
    <col min="10509" max="10510" width="9" style="1" customWidth="1"/>
    <col min="10511" max="10513" width="0" style="1" hidden="1" customWidth="1"/>
    <col min="10514" max="10514" width="9.85546875" style="1" customWidth="1"/>
    <col min="10515" max="10516" width="10.5703125" style="1" customWidth="1"/>
    <col min="10517" max="10517" width="10" style="1" customWidth="1"/>
    <col min="10518" max="10518" width="10.5703125" style="1" customWidth="1"/>
    <col min="10519" max="10519" width="9.28515625" style="1" customWidth="1"/>
    <col min="10520" max="10520" width="8.5703125" style="1" customWidth="1"/>
    <col min="10521" max="10755" width="9.140625" style="1"/>
    <col min="10756" max="10756" width="5.85546875" style="1" customWidth="1"/>
    <col min="10757" max="10757" width="25" style="1" customWidth="1"/>
    <col min="10758" max="10758" width="10" style="1" bestFit="1" customWidth="1"/>
    <col min="10759" max="10759" width="9.85546875" style="1" customWidth="1"/>
    <col min="10760" max="10760" width="10" style="1" bestFit="1" customWidth="1"/>
    <col min="10761" max="10761" width="9.85546875" style="1" customWidth="1"/>
    <col min="10762" max="10762" width="8.140625" style="1" customWidth="1"/>
    <col min="10763" max="10764" width="8.42578125" style="1" customWidth="1"/>
    <col min="10765" max="10766" width="9" style="1" customWidth="1"/>
    <col min="10767" max="10769" width="0" style="1" hidden="1" customWidth="1"/>
    <col min="10770" max="10770" width="9.85546875" style="1" customWidth="1"/>
    <col min="10771" max="10772" width="10.5703125" style="1" customWidth="1"/>
    <col min="10773" max="10773" width="10" style="1" customWidth="1"/>
    <col min="10774" max="10774" width="10.5703125" style="1" customWidth="1"/>
    <col min="10775" max="10775" width="9.28515625" style="1" customWidth="1"/>
    <col min="10776" max="10776" width="8.5703125" style="1" customWidth="1"/>
    <col min="10777" max="11011" width="9.140625" style="1"/>
    <col min="11012" max="11012" width="5.85546875" style="1" customWidth="1"/>
    <col min="11013" max="11013" width="25" style="1" customWidth="1"/>
    <col min="11014" max="11014" width="10" style="1" bestFit="1" customWidth="1"/>
    <col min="11015" max="11015" width="9.85546875" style="1" customWidth="1"/>
    <col min="11016" max="11016" width="10" style="1" bestFit="1" customWidth="1"/>
    <col min="11017" max="11017" width="9.85546875" style="1" customWidth="1"/>
    <col min="11018" max="11018" width="8.140625" style="1" customWidth="1"/>
    <col min="11019" max="11020" width="8.42578125" style="1" customWidth="1"/>
    <col min="11021" max="11022" width="9" style="1" customWidth="1"/>
    <col min="11023" max="11025" width="0" style="1" hidden="1" customWidth="1"/>
    <col min="11026" max="11026" width="9.85546875" style="1" customWidth="1"/>
    <col min="11027" max="11028" width="10.5703125" style="1" customWidth="1"/>
    <col min="11029" max="11029" width="10" style="1" customWidth="1"/>
    <col min="11030" max="11030" width="10.5703125" style="1" customWidth="1"/>
    <col min="11031" max="11031" width="9.28515625" style="1" customWidth="1"/>
    <col min="11032" max="11032" width="8.5703125" style="1" customWidth="1"/>
    <col min="11033" max="11267" width="9.140625" style="1"/>
    <col min="11268" max="11268" width="5.85546875" style="1" customWidth="1"/>
    <col min="11269" max="11269" width="25" style="1" customWidth="1"/>
    <col min="11270" max="11270" width="10" style="1" bestFit="1" customWidth="1"/>
    <col min="11271" max="11271" width="9.85546875" style="1" customWidth="1"/>
    <col min="11272" max="11272" width="10" style="1" bestFit="1" customWidth="1"/>
    <col min="11273" max="11273" width="9.85546875" style="1" customWidth="1"/>
    <col min="11274" max="11274" width="8.140625" style="1" customWidth="1"/>
    <col min="11275" max="11276" width="8.42578125" style="1" customWidth="1"/>
    <col min="11277" max="11278" width="9" style="1" customWidth="1"/>
    <col min="11279" max="11281" width="0" style="1" hidden="1" customWidth="1"/>
    <col min="11282" max="11282" width="9.85546875" style="1" customWidth="1"/>
    <col min="11283" max="11284" width="10.5703125" style="1" customWidth="1"/>
    <col min="11285" max="11285" width="10" style="1" customWidth="1"/>
    <col min="11286" max="11286" width="10.5703125" style="1" customWidth="1"/>
    <col min="11287" max="11287" width="9.28515625" style="1" customWidth="1"/>
    <col min="11288" max="11288" width="8.5703125" style="1" customWidth="1"/>
    <col min="11289" max="11523" width="9.140625" style="1"/>
    <col min="11524" max="11524" width="5.85546875" style="1" customWidth="1"/>
    <col min="11525" max="11525" width="25" style="1" customWidth="1"/>
    <col min="11526" max="11526" width="10" style="1" bestFit="1" customWidth="1"/>
    <col min="11527" max="11527" width="9.85546875" style="1" customWidth="1"/>
    <col min="11528" max="11528" width="10" style="1" bestFit="1" customWidth="1"/>
    <col min="11529" max="11529" width="9.85546875" style="1" customWidth="1"/>
    <col min="11530" max="11530" width="8.140625" style="1" customWidth="1"/>
    <col min="11531" max="11532" width="8.42578125" style="1" customWidth="1"/>
    <col min="11533" max="11534" width="9" style="1" customWidth="1"/>
    <col min="11535" max="11537" width="0" style="1" hidden="1" customWidth="1"/>
    <col min="11538" max="11538" width="9.85546875" style="1" customWidth="1"/>
    <col min="11539" max="11540" width="10.5703125" style="1" customWidth="1"/>
    <col min="11541" max="11541" width="10" style="1" customWidth="1"/>
    <col min="11542" max="11542" width="10.5703125" style="1" customWidth="1"/>
    <col min="11543" max="11543" width="9.28515625" style="1" customWidth="1"/>
    <col min="11544" max="11544" width="8.5703125" style="1" customWidth="1"/>
    <col min="11545" max="11779" width="9.140625" style="1"/>
    <col min="11780" max="11780" width="5.85546875" style="1" customWidth="1"/>
    <col min="11781" max="11781" width="25" style="1" customWidth="1"/>
    <col min="11782" max="11782" width="10" style="1" bestFit="1" customWidth="1"/>
    <col min="11783" max="11783" width="9.85546875" style="1" customWidth="1"/>
    <col min="11784" max="11784" width="10" style="1" bestFit="1" customWidth="1"/>
    <col min="11785" max="11785" width="9.85546875" style="1" customWidth="1"/>
    <col min="11786" max="11786" width="8.140625" style="1" customWidth="1"/>
    <col min="11787" max="11788" width="8.42578125" style="1" customWidth="1"/>
    <col min="11789" max="11790" width="9" style="1" customWidth="1"/>
    <col min="11791" max="11793" width="0" style="1" hidden="1" customWidth="1"/>
    <col min="11794" max="11794" width="9.85546875" style="1" customWidth="1"/>
    <col min="11795" max="11796" width="10.5703125" style="1" customWidth="1"/>
    <col min="11797" max="11797" width="10" style="1" customWidth="1"/>
    <col min="11798" max="11798" width="10.5703125" style="1" customWidth="1"/>
    <col min="11799" max="11799" width="9.28515625" style="1" customWidth="1"/>
    <col min="11800" max="11800" width="8.5703125" style="1" customWidth="1"/>
    <col min="11801" max="12035" width="9.140625" style="1"/>
    <col min="12036" max="12036" width="5.85546875" style="1" customWidth="1"/>
    <col min="12037" max="12037" width="25" style="1" customWidth="1"/>
    <col min="12038" max="12038" width="10" style="1" bestFit="1" customWidth="1"/>
    <col min="12039" max="12039" width="9.85546875" style="1" customWidth="1"/>
    <col min="12040" max="12040" width="10" style="1" bestFit="1" customWidth="1"/>
    <col min="12041" max="12041" width="9.85546875" style="1" customWidth="1"/>
    <col min="12042" max="12042" width="8.140625" style="1" customWidth="1"/>
    <col min="12043" max="12044" width="8.42578125" style="1" customWidth="1"/>
    <col min="12045" max="12046" width="9" style="1" customWidth="1"/>
    <col min="12047" max="12049" width="0" style="1" hidden="1" customWidth="1"/>
    <col min="12050" max="12050" width="9.85546875" style="1" customWidth="1"/>
    <col min="12051" max="12052" width="10.5703125" style="1" customWidth="1"/>
    <col min="12053" max="12053" width="10" style="1" customWidth="1"/>
    <col min="12054" max="12054" width="10.5703125" style="1" customWidth="1"/>
    <col min="12055" max="12055" width="9.28515625" style="1" customWidth="1"/>
    <col min="12056" max="12056" width="8.5703125" style="1" customWidth="1"/>
    <col min="12057" max="12291" width="9.140625" style="1"/>
    <col min="12292" max="12292" width="5.85546875" style="1" customWidth="1"/>
    <col min="12293" max="12293" width="25" style="1" customWidth="1"/>
    <col min="12294" max="12294" width="10" style="1" bestFit="1" customWidth="1"/>
    <col min="12295" max="12295" width="9.85546875" style="1" customWidth="1"/>
    <col min="12296" max="12296" width="10" style="1" bestFit="1" customWidth="1"/>
    <col min="12297" max="12297" width="9.85546875" style="1" customWidth="1"/>
    <col min="12298" max="12298" width="8.140625" style="1" customWidth="1"/>
    <col min="12299" max="12300" width="8.42578125" style="1" customWidth="1"/>
    <col min="12301" max="12302" width="9" style="1" customWidth="1"/>
    <col min="12303" max="12305" width="0" style="1" hidden="1" customWidth="1"/>
    <col min="12306" max="12306" width="9.85546875" style="1" customWidth="1"/>
    <col min="12307" max="12308" width="10.5703125" style="1" customWidth="1"/>
    <col min="12309" max="12309" width="10" style="1" customWidth="1"/>
    <col min="12310" max="12310" width="10.5703125" style="1" customWidth="1"/>
    <col min="12311" max="12311" width="9.28515625" style="1" customWidth="1"/>
    <col min="12312" max="12312" width="8.5703125" style="1" customWidth="1"/>
    <col min="12313" max="12547" width="9.140625" style="1"/>
    <col min="12548" max="12548" width="5.85546875" style="1" customWidth="1"/>
    <col min="12549" max="12549" width="25" style="1" customWidth="1"/>
    <col min="12550" max="12550" width="10" style="1" bestFit="1" customWidth="1"/>
    <col min="12551" max="12551" width="9.85546875" style="1" customWidth="1"/>
    <col min="12552" max="12552" width="10" style="1" bestFit="1" customWidth="1"/>
    <col min="12553" max="12553" width="9.85546875" style="1" customWidth="1"/>
    <col min="12554" max="12554" width="8.140625" style="1" customWidth="1"/>
    <col min="12555" max="12556" width="8.42578125" style="1" customWidth="1"/>
    <col min="12557" max="12558" width="9" style="1" customWidth="1"/>
    <col min="12559" max="12561" width="0" style="1" hidden="1" customWidth="1"/>
    <col min="12562" max="12562" width="9.85546875" style="1" customWidth="1"/>
    <col min="12563" max="12564" width="10.5703125" style="1" customWidth="1"/>
    <col min="12565" max="12565" width="10" style="1" customWidth="1"/>
    <col min="12566" max="12566" width="10.5703125" style="1" customWidth="1"/>
    <col min="12567" max="12567" width="9.28515625" style="1" customWidth="1"/>
    <col min="12568" max="12568" width="8.5703125" style="1" customWidth="1"/>
    <col min="12569" max="12803" width="9.140625" style="1"/>
    <col min="12804" max="12804" width="5.85546875" style="1" customWidth="1"/>
    <col min="12805" max="12805" width="25" style="1" customWidth="1"/>
    <col min="12806" max="12806" width="10" style="1" bestFit="1" customWidth="1"/>
    <col min="12807" max="12807" width="9.85546875" style="1" customWidth="1"/>
    <col min="12808" max="12808" width="10" style="1" bestFit="1" customWidth="1"/>
    <col min="12809" max="12809" width="9.85546875" style="1" customWidth="1"/>
    <col min="12810" max="12810" width="8.140625" style="1" customWidth="1"/>
    <col min="12811" max="12812" width="8.42578125" style="1" customWidth="1"/>
    <col min="12813" max="12814" width="9" style="1" customWidth="1"/>
    <col min="12815" max="12817" width="0" style="1" hidden="1" customWidth="1"/>
    <col min="12818" max="12818" width="9.85546875" style="1" customWidth="1"/>
    <col min="12819" max="12820" width="10.5703125" style="1" customWidth="1"/>
    <col min="12821" max="12821" width="10" style="1" customWidth="1"/>
    <col min="12822" max="12822" width="10.5703125" style="1" customWidth="1"/>
    <col min="12823" max="12823" width="9.28515625" style="1" customWidth="1"/>
    <col min="12824" max="12824" width="8.5703125" style="1" customWidth="1"/>
    <col min="12825" max="13059" width="9.140625" style="1"/>
    <col min="13060" max="13060" width="5.85546875" style="1" customWidth="1"/>
    <col min="13061" max="13061" width="25" style="1" customWidth="1"/>
    <col min="13062" max="13062" width="10" style="1" bestFit="1" customWidth="1"/>
    <col min="13063" max="13063" width="9.85546875" style="1" customWidth="1"/>
    <col min="13064" max="13064" width="10" style="1" bestFit="1" customWidth="1"/>
    <col min="13065" max="13065" width="9.85546875" style="1" customWidth="1"/>
    <col min="13066" max="13066" width="8.140625" style="1" customWidth="1"/>
    <col min="13067" max="13068" width="8.42578125" style="1" customWidth="1"/>
    <col min="13069" max="13070" width="9" style="1" customWidth="1"/>
    <col min="13071" max="13073" width="0" style="1" hidden="1" customWidth="1"/>
    <col min="13074" max="13074" width="9.85546875" style="1" customWidth="1"/>
    <col min="13075" max="13076" width="10.5703125" style="1" customWidth="1"/>
    <col min="13077" max="13077" width="10" style="1" customWidth="1"/>
    <col min="13078" max="13078" width="10.5703125" style="1" customWidth="1"/>
    <col min="13079" max="13079" width="9.28515625" style="1" customWidth="1"/>
    <col min="13080" max="13080" width="8.5703125" style="1" customWidth="1"/>
    <col min="13081" max="13315" width="9.140625" style="1"/>
    <col min="13316" max="13316" width="5.85546875" style="1" customWidth="1"/>
    <col min="13317" max="13317" width="25" style="1" customWidth="1"/>
    <col min="13318" max="13318" width="10" style="1" bestFit="1" customWidth="1"/>
    <col min="13319" max="13319" width="9.85546875" style="1" customWidth="1"/>
    <col min="13320" max="13320" width="10" style="1" bestFit="1" customWidth="1"/>
    <col min="13321" max="13321" width="9.85546875" style="1" customWidth="1"/>
    <col min="13322" max="13322" width="8.140625" style="1" customWidth="1"/>
    <col min="13323" max="13324" width="8.42578125" style="1" customWidth="1"/>
    <col min="13325" max="13326" width="9" style="1" customWidth="1"/>
    <col min="13327" max="13329" width="0" style="1" hidden="1" customWidth="1"/>
    <col min="13330" max="13330" width="9.85546875" style="1" customWidth="1"/>
    <col min="13331" max="13332" width="10.5703125" style="1" customWidth="1"/>
    <col min="13333" max="13333" width="10" style="1" customWidth="1"/>
    <col min="13334" max="13334" width="10.5703125" style="1" customWidth="1"/>
    <col min="13335" max="13335" width="9.28515625" style="1" customWidth="1"/>
    <col min="13336" max="13336" width="8.5703125" style="1" customWidth="1"/>
    <col min="13337" max="13571" width="9.140625" style="1"/>
    <col min="13572" max="13572" width="5.85546875" style="1" customWidth="1"/>
    <col min="13573" max="13573" width="25" style="1" customWidth="1"/>
    <col min="13574" max="13574" width="10" style="1" bestFit="1" customWidth="1"/>
    <col min="13575" max="13575" width="9.85546875" style="1" customWidth="1"/>
    <col min="13576" max="13576" width="10" style="1" bestFit="1" customWidth="1"/>
    <col min="13577" max="13577" width="9.85546875" style="1" customWidth="1"/>
    <col min="13578" max="13578" width="8.140625" style="1" customWidth="1"/>
    <col min="13579" max="13580" width="8.42578125" style="1" customWidth="1"/>
    <col min="13581" max="13582" width="9" style="1" customWidth="1"/>
    <col min="13583" max="13585" width="0" style="1" hidden="1" customWidth="1"/>
    <col min="13586" max="13586" width="9.85546875" style="1" customWidth="1"/>
    <col min="13587" max="13588" width="10.5703125" style="1" customWidth="1"/>
    <col min="13589" max="13589" width="10" style="1" customWidth="1"/>
    <col min="13590" max="13590" width="10.5703125" style="1" customWidth="1"/>
    <col min="13591" max="13591" width="9.28515625" style="1" customWidth="1"/>
    <col min="13592" max="13592" width="8.5703125" style="1" customWidth="1"/>
    <col min="13593" max="13827" width="9.140625" style="1"/>
    <col min="13828" max="13828" width="5.85546875" style="1" customWidth="1"/>
    <col min="13829" max="13829" width="25" style="1" customWidth="1"/>
    <col min="13830" max="13830" width="10" style="1" bestFit="1" customWidth="1"/>
    <col min="13831" max="13831" width="9.85546875" style="1" customWidth="1"/>
    <col min="13832" max="13832" width="10" style="1" bestFit="1" customWidth="1"/>
    <col min="13833" max="13833" width="9.85546875" style="1" customWidth="1"/>
    <col min="13834" max="13834" width="8.140625" style="1" customWidth="1"/>
    <col min="13835" max="13836" width="8.42578125" style="1" customWidth="1"/>
    <col min="13837" max="13838" width="9" style="1" customWidth="1"/>
    <col min="13839" max="13841" width="0" style="1" hidden="1" customWidth="1"/>
    <col min="13842" max="13842" width="9.85546875" style="1" customWidth="1"/>
    <col min="13843" max="13844" width="10.5703125" style="1" customWidth="1"/>
    <col min="13845" max="13845" width="10" style="1" customWidth="1"/>
    <col min="13846" max="13846" width="10.5703125" style="1" customWidth="1"/>
    <col min="13847" max="13847" width="9.28515625" style="1" customWidth="1"/>
    <col min="13848" max="13848" width="8.5703125" style="1" customWidth="1"/>
    <col min="13849" max="14083" width="9.140625" style="1"/>
    <col min="14084" max="14084" width="5.85546875" style="1" customWidth="1"/>
    <col min="14085" max="14085" width="25" style="1" customWidth="1"/>
    <col min="14086" max="14086" width="10" style="1" bestFit="1" customWidth="1"/>
    <col min="14087" max="14087" width="9.85546875" style="1" customWidth="1"/>
    <col min="14088" max="14088" width="10" style="1" bestFit="1" customWidth="1"/>
    <col min="14089" max="14089" width="9.85546875" style="1" customWidth="1"/>
    <col min="14090" max="14090" width="8.140625" style="1" customWidth="1"/>
    <col min="14091" max="14092" width="8.42578125" style="1" customWidth="1"/>
    <col min="14093" max="14094" width="9" style="1" customWidth="1"/>
    <col min="14095" max="14097" width="0" style="1" hidden="1" customWidth="1"/>
    <col min="14098" max="14098" width="9.85546875" style="1" customWidth="1"/>
    <col min="14099" max="14100" width="10.5703125" style="1" customWidth="1"/>
    <col min="14101" max="14101" width="10" style="1" customWidth="1"/>
    <col min="14102" max="14102" width="10.5703125" style="1" customWidth="1"/>
    <col min="14103" max="14103" width="9.28515625" style="1" customWidth="1"/>
    <col min="14104" max="14104" width="8.5703125" style="1" customWidth="1"/>
    <col min="14105" max="14339" width="9.140625" style="1"/>
    <col min="14340" max="14340" width="5.85546875" style="1" customWidth="1"/>
    <col min="14341" max="14341" width="25" style="1" customWidth="1"/>
    <col min="14342" max="14342" width="10" style="1" bestFit="1" customWidth="1"/>
    <col min="14343" max="14343" width="9.85546875" style="1" customWidth="1"/>
    <col min="14344" max="14344" width="10" style="1" bestFit="1" customWidth="1"/>
    <col min="14345" max="14345" width="9.85546875" style="1" customWidth="1"/>
    <col min="14346" max="14346" width="8.140625" style="1" customWidth="1"/>
    <col min="14347" max="14348" width="8.42578125" style="1" customWidth="1"/>
    <col min="14349" max="14350" width="9" style="1" customWidth="1"/>
    <col min="14351" max="14353" width="0" style="1" hidden="1" customWidth="1"/>
    <col min="14354" max="14354" width="9.85546875" style="1" customWidth="1"/>
    <col min="14355" max="14356" width="10.5703125" style="1" customWidth="1"/>
    <col min="14357" max="14357" width="10" style="1" customWidth="1"/>
    <col min="14358" max="14358" width="10.5703125" style="1" customWidth="1"/>
    <col min="14359" max="14359" width="9.28515625" style="1" customWidth="1"/>
    <col min="14360" max="14360" width="8.5703125" style="1" customWidth="1"/>
    <col min="14361" max="14595" width="9.140625" style="1"/>
    <col min="14596" max="14596" width="5.85546875" style="1" customWidth="1"/>
    <col min="14597" max="14597" width="25" style="1" customWidth="1"/>
    <col min="14598" max="14598" width="10" style="1" bestFit="1" customWidth="1"/>
    <col min="14599" max="14599" width="9.85546875" style="1" customWidth="1"/>
    <col min="14600" max="14600" width="10" style="1" bestFit="1" customWidth="1"/>
    <col min="14601" max="14601" width="9.85546875" style="1" customWidth="1"/>
    <col min="14602" max="14602" width="8.140625" style="1" customWidth="1"/>
    <col min="14603" max="14604" width="8.42578125" style="1" customWidth="1"/>
    <col min="14605" max="14606" width="9" style="1" customWidth="1"/>
    <col min="14607" max="14609" width="0" style="1" hidden="1" customWidth="1"/>
    <col min="14610" max="14610" width="9.85546875" style="1" customWidth="1"/>
    <col min="14611" max="14612" width="10.5703125" style="1" customWidth="1"/>
    <col min="14613" max="14613" width="10" style="1" customWidth="1"/>
    <col min="14614" max="14614" width="10.5703125" style="1" customWidth="1"/>
    <col min="14615" max="14615" width="9.28515625" style="1" customWidth="1"/>
    <col min="14616" max="14616" width="8.5703125" style="1" customWidth="1"/>
    <col min="14617" max="14851" width="9.140625" style="1"/>
    <col min="14852" max="14852" width="5.85546875" style="1" customWidth="1"/>
    <col min="14853" max="14853" width="25" style="1" customWidth="1"/>
    <col min="14854" max="14854" width="10" style="1" bestFit="1" customWidth="1"/>
    <col min="14855" max="14855" width="9.85546875" style="1" customWidth="1"/>
    <col min="14856" max="14856" width="10" style="1" bestFit="1" customWidth="1"/>
    <col min="14857" max="14857" width="9.85546875" style="1" customWidth="1"/>
    <col min="14858" max="14858" width="8.140625" style="1" customWidth="1"/>
    <col min="14859" max="14860" width="8.42578125" style="1" customWidth="1"/>
    <col min="14861" max="14862" width="9" style="1" customWidth="1"/>
    <col min="14863" max="14865" width="0" style="1" hidden="1" customWidth="1"/>
    <col min="14866" max="14866" width="9.85546875" style="1" customWidth="1"/>
    <col min="14867" max="14868" width="10.5703125" style="1" customWidth="1"/>
    <col min="14869" max="14869" width="10" style="1" customWidth="1"/>
    <col min="14870" max="14870" width="10.5703125" style="1" customWidth="1"/>
    <col min="14871" max="14871" width="9.28515625" style="1" customWidth="1"/>
    <col min="14872" max="14872" width="8.5703125" style="1" customWidth="1"/>
    <col min="14873" max="15107" width="9.140625" style="1"/>
    <col min="15108" max="15108" width="5.85546875" style="1" customWidth="1"/>
    <col min="15109" max="15109" width="25" style="1" customWidth="1"/>
    <col min="15110" max="15110" width="10" style="1" bestFit="1" customWidth="1"/>
    <col min="15111" max="15111" width="9.85546875" style="1" customWidth="1"/>
    <col min="15112" max="15112" width="10" style="1" bestFit="1" customWidth="1"/>
    <col min="15113" max="15113" width="9.85546875" style="1" customWidth="1"/>
    <col min="15114" max="15114" width="8.140625" style="1" customWidth="1"/>
    <col min="15115" max="15116" width="8.42578125" style="1" customWidth="1"/>
    <col min="15117" max="15118" width="9" style="1" customWidth="1"/>
    <col min="15119" max="15121" width="0" style="1" hidden="1" customWidth="1"/>
    <col min="15122" max="15122" width="9.85546875" style="1" customWidth="1"/>
    <col min="15123" max="15124" width="10.5703125" style="1" customWidth="1"/>
    <col min="15125" max="15125" width="10" style="1" customWidth="1"/>
    <col min="15126" max="15126" width="10.5703125" style="1" customWidth="1"/>
    <col min="15127" max="15127" width="9.28515625" style="1" customWidth="1"/>
    <col min="15128" max="15128" width="8.5703125" style="1" customWidth="1"/>
    <col min="15129" max="15363" width="9.140625" style="1"/>
    <col min="15364" max="15364" width="5.85546875" style="1" customWidth="1"/>
    <col min="15365" max="15365" width="25" style="1" customWidth="1"/>
    <col min="15366" max="15366" width="10" style="1" bestFit="1" customWidth="1"/>
    <col min="15367" max="15367" width="9.85546875" style="1" customWidth="1"/>
    <col min="15368" max="15368" width="10" style="1" bestFit="1" customWidth="1"/>
    <col min="15369" max="15369" width="9.85546875" style="1" customWidth="1"/>
    <col min="15370" max="15370" width="8.140625" style="1" customWidth="1"/>
    <col min="15371" max="15372" width="8.42578125" style="1" customWidth="1"/>
    <col min="15373" max="15374" width="9" style="1" customWidth="1"/>
    <col min="15375" max="15377" width="0" style="1" hidden="1" customWidth="1"/>
    <col min="15378" max="15378" width="9.85546875" style="1" customWidth="1"/>
    <col min="15379" max="15380" width="10.5703125" style="1" customWidth="1"/>
    <col min="15381" max="15381" width="10" style="1" customWidth="1"/>
    <col min="15382" max="15382" width="10.5703125" style="1" customWidth="1"/>
    <col min="15383" max="15383" width="9.28515625" style="1" customWidth="1"/>
    <col min="15384" max="15384" width="8.5703125" style="1" customWidth="1"/>
    <col min="15385" max="15619" width="9.140625" style="1"/>
    <col min="15620" max="15620" width="5.85546875" style="1" customWidth="1"/>
    <col min="15621" max="15621" width="25" style="1" customWidth="1"/>
    <col min="15622" max="15622" width="10" style="1" bestFit="1" customWidth="1"/>
    <col min="15623" max="15623" width="9.85546875" style="1" customWidth="1"/>
    <col min="15624" max="15624" width="10" style="1" bestFit="1" customWidth="1"/>
    <col min="15625" max="15625" width="9.85546875" style="1" customWidth="1"/>
    <col min="15626" max="15626" width="8.140625" style="1" customWidth="1"/>
    <col min="15627" max="15628" width="8.42578125" style="1" customWidth="1"/>
    <col min="15629" max="15630" width="9" style="1" customWidth="1"/>
    <col min="15631" max="15633" width="0" style="1" hidden="1" customWidth="1"/>
    <col min="15634" max="15634" width="9.85546875" style="1" customWidth="1"/>
    <col min="15635" max="15636" width="10.5703125" style="1" customWidth="1"/>
    <col min="15637" max="15637" width="10" style="1" customWidth="1"/>
    <col min="15638" max="15638" width="10.5703125" style="1" customWidth="1"/>
    <col min="15639" max="15639" width="9.28515625" style="1" customWidth="1"/>
    <col min="15640" max="15640" width="8.5703125" style="1" customWidth="1"/>
    <col min="15641" max="15875" width="9.140625" style="1"/>
    <col min="15876" max="15876" width="5.85546875" style="1" customWidth="1"/>
    <col min="15877" max="15877" width="25" style="1" customWidth="1"/>
    <col min="15878" max="15878" width="10" style="1" bestFit="1" customWidth="1"/>
    <col min="15879" max="15879" width="9.85546875" style="1" customWidth="1"/>
    <col min="15880" max="15880" width="10" style="1" bestFit="1" customWidth="1"/>
    <col min="15881" max="15881" width="9.85546875" style="1" customWidth="1"/>
    <col min="15882" max="15882" width="8.140625" style="1" customWidth="1"/>
    <col min="15883" max="15884" width="8.42578125" style="1" customWidth="1"/>
    <col min="15885" max="15886" width="9" style="1" customWidth="1"/>
    <col min="15887" max="15889" width="0" style="1" hidden="1" customWidth="1"/>
    <col min="15890" max="15890" width="9.85546875" style="1" customWidth="1"/>
    <col min="15891" max="15892" width="10.5703125" style="1" customWidth="1"/>
    <col min="15893" max="15893" width="10" style="1" customWidth="1"/>
    <col min="15894" max="15894" width="10.5703125" style="1" customWidth="1"/>
    <col min="15895" max="15895" width="9.28515625" style="1" customWidth="1"/>
    <col min="15896" max="15896" width="8.5703125" style="1" customWidth="1"/>
    <col min="15897" max="16131" width="9.140625" style="1"/>
    <col min="16132" max="16132" width="5.85546875" style="1" customWidth="1"/>
    <col min="16133" max="16133" width="25" style="1" customWidth="1"/>
    <col min="16134" max="16134" width="10" style="1" bestFit="1" customWidth="1"/>
    <col min="16135" max="16135" width="9.85546875" style="1" customWidth="1"/>
    <col min="16136" max="16136" width="10" style="1" bestFit="1" customWidth="1"/>
    <col min="16137" max="16137" width="9.85546875" style="1" customWidth="1"/>
    <col min="16138" max="16138" width="8.140625" style="1" customWidth="1"/>
    <col min="16139" max="16140" width="8.42578125" style="1" customWidth="1"/>
    <col min="16141" max="16142" width="9" style="1" customWidth="1"/>
    <col min="16143" max="16145" width="0" style="1" hidden="1" customWidth="1"/>
    <col min="16146" max="16146" width="9.85546875" style="1" customWidth="1"/>
    <col min="16147" max="16148" width="10.5703125" style="1" customWidth="1"/>
    <col min="16149" max="16149" width="10" style="1" customWidth="1"/>
    <col min="16150" max="16150" width="10.5703125" style="1" customWidth="1"/>
    <col min="16151" max="16151" width="9.28515625" style="1" customWidth="1"/>
    <col min="16152" max="16152" width="8.5703125" style="1" customWidth="1"/>
    <col min="16153" max="16384" width="9.140625" style="1"/>
  </cols>
  <sheetData>
    <row r="1" spans="1:24" ht="11.25" hidden="1" customHeight="1" x14ac:dyDescent="0.2">
      <c r="A1" s="1" t="s">
        <v>0</v>
      </c>
    </row>
    <row r="2" spans="1:24" ht="11.25" hidden="1" customHeight="1" x14ac:dyDescent="0.2">
      <c r="A2" s="9" t="s">
        <v>1</v>
      </c>
      <c r="B2" s="9"/>
    </row>
    <row r="3" spans="1:24" ht="14.25" hidden="1" customHeight="1" x14ac:dyDescent="0.2">
      <c r="A3" s="286"/>
      <c r="B3" s="287" t="s">
        <v>76</v>
      </c>
      <c r="C3" s="288"/>
      <c r="D3" s="289"/>
      <c r="E3" s="291" t="e">
        <f>#REF!+#REF!</f>
        <v>#REF!</v>
      </c>
      <c r="F3" s="292"/>
      <c r="G3" s="291" t="e">
        <f>#REF!+#REF!</f>
        <v>#REF!</v>
      </c>
      <c r="H3" s="292"/>
      <c r="I3" s="292"/>
      <c r="J3" s="292"/>
      <c r="K3" s="292"/>
      <c r="L3" s="292"/>
      <c r="M3" s="293" t="e">
        <f>#REF!+#REF!</f>
        <v>#REF!</v>
      </c>
      <c r="N3" s="294"/>
      <c r="O3" s="292" t="e">
        <f>#REF!-100000</f>
        <v>#REF!</v>
      </c>
      <c r="P3" s="288" t="e">
        <f>#REF!-100000</f>
        <v>#REF!</v>
      </c>
      <c r="Q3" s="288"/>
      <c r="R3" s="295" t="e">
        <f>SUM(#REF!)</f>
        <v>#REF!</v>
      </c>
      <c r="S3" s="289"/>
      <c r="T3" s="289"/>
      <c r="U3" s="289"/>
      <c r="V3" s="289"/>
      <c r="W3" s="289"/>
      <c r="X3" s="289"/>
    </row>
    <row r="4" spans="1:24" ht="12" hidden="1" customHeight="1" thickBot="1" x14ac:dyDescent="0.25">
      <c r="A4" s="296"/>
      <c r="B4" s="297" t="s">
        <v>77</v>
      </c>
      <c r="C4" s="83">
        <v>7963147</v>
      </c>
      <c r="D4" s="89"/>
      <c r="E4" s="298">
        <v>0</v>
      </c>
      <c r="F4" s="79"/>
      <c r="G4" s="298">
        <v>0</v>
      </c>
      <c r="H4" s="79"/>
      <c r="I4" s="79"/>
      <c r="J4" s="79"/>
      <c r="K4" s="79"/>
      <c r="L4" s="79"/>
      <c r="M4" s="299">
        <v>8019425</v>
      </c>
      <c r="N4" s="299"/>
      <c r="O4" s="299">
        <v>8610725</v>
      </c>
      <c r="P4" s="299">
        <v>7675155</v>
      </c>
      <c r="Q4" s="299"/>
      <c r="R4" s="300" t="e">
        <f>#REF!+R3</f>
        <v>#REF!</v>
      </c>
      <c r="S4" s="89"/>
      <c r="T4" s="89"/>
      <c r="U4" s="89"/>
      <c r="V4" s="89"/>
      <c r="W4" s="89"/>
      <c r="X4" s="89"/>
    </row>
    <row r="5" spans="1:24" ht="12" hidden="1" customHeight="1" thickBot="1" x14ac:dyDescent="0.25">
      <c r="A5" s="296"/>
      <c r="B5" s="297" t="s">
        <v>78</v>
      </c>
      <c r="C5" s="83">
        <f>C3-C4</f>
        <v>-7963147</v>
      </c>
      <c r="D5" s="89"/>
      <c r="E5" s="301" t="e">
        <f t="shared" ref="E5" si="0">E3+E4</f>
        <v>#REF!</v>
      </c>
      <c r="F5" s="79"/>
      <c r="G5" s="301" t="e">
        <f t="shared" ref="G5" si="1">G3+G4</f>
        <v>#REF!</v>
      </c>
      <c r="H5" s="79"/>
      <c r="I5" s="79"/>
      <c r="J5" s="79"/>
      <c r="K5" s="79"/>
      <c r="L5" s="79"/>
      <c r="M5" s="299" t="e">
        <f>M3-M4</f>
        <v>#REF!</v>
      </c>
      <c r="N5" s="299"/>
      <c r="O5" s="299" t="e">
        <f>O3-O4</f>
        <v>#REF!</v>
      </c>
      <c r="P5" s="299" t="e">
        <f>P3-P4</f>
        <v>#REF!</v>
      </c>
      <c r="Q5" s="299"/>
      <c r="R5" s="89"/>
      <c r="S5" s="89"/>
      <c r="T5" s="89"/>
      <c r="U5" s="89"/>
      <c r="V5" s="89"/>
      <c r="W5" s="89"/>
      <c r="X5" s="89"/>
    </row>
    <row r="6" spans="1:24" ht="11.25" hidden="1" customHeight="1" x14ac:dyDescent="0.2">
      <c r="A6" s="296"/>
      <c r="B6" s="302" t="s">
        <v>79</v>
      </c>
      <c r="C6" s="83"/>
      <c r="D6" s="89"/>
      <c r="E6" s="299"/>
      <c r="F6" s="79"/>
      <c r="G6" s="299"/>
      <c r="H6" s="79"/>
      <c r="I6" s="79" t="e">
        <f>#REF!/12</f>
        <v>#REF!</v>
      </c>
      <c r="J6" s="79"/>
      <c r="K6" s="79"/>
      <c r="L6" s="79"/>
      <c r="M6" s="299"/>
      <c r="N6" s="299"/>
      <c r="O6" s="299"/>
      <c r="P6" s="299"/>
      <c r="Q6" s="299"/>
      <c r="R6" s="89"/>
      <c r="S6" s="89"/>
      <c r="T6" s="89"/>
      <c r="U6" s="89"/>
      <c r="V6" s="89"/>
      <c r="W6" s="89"/>
      <c r="X6" s="89"/>
    </row>
    <row r="7" spans="1:24" ht="11.25" hidden="1" customHeight="1" x14ac:dyDescent="0.2">
      <c r="A7" s="296"/>
      <c r="B7" s="296" t="s">
        <v>80</v>
      </c>
      <c r="C7" s="65"/>
      <c r="D7" s="71"/>
      <c r="E7" s="303" t="e">
        <f>#REF!*0.57</f>
        <v>#REF!</v>
      </c>
      <c r="F7" s="62"/>
      <c r="G7" s="303" t="e">
        <f>#REF!*0.57</f>
        <v>#REF!</v>
      </c>
      <c r="H7" s="62"/>
      <c r="I7" s="62"/>
      <c r="J7" s="62"/>
      <c r="K7" s="62"/>
      <c r="L7" s="62"/>
      <c r="M7" s="304" t="e">
        <f>#REF!*0.57</f>
        <v>#REF!</v>
      </c>
      <c r="N7" s="64"/>
      <c r="O7" s="62"/>
      <c r="P7" s="305"/>
      <c r="Q7" s="305"/>
      <c r="R7" s="71"/>
      <c r="S7" s="71"/>
      <c r="T7" s="71"/>
      <c r="U7" s="71"/>
      <c r="V7" s="71"/>
      <c r="W7" s="71"/>
      <c r="X7" s="71"/>
    </row>
    <row r="8" spans="1:24" ht="11.25" hidden="1" customHeight="1" x14ac:dyDescent="0.2">
      <c r="A8" s="296"/>
      <c r="B8" s="296" t="s">
        <v>81</v>
      </c>
      <c r="C8" s="65"/>
      <c r="D8" s="71"/>
      <c r="E8" s="303" t="e">
        <f>#REF!*0.23</f>
        <v>#REF!</v>
      </c>
      <c r="F8" s="62"/>
      <c r="G8" s="303" t="e">
        <f>#REF!*0.23</f>
        <v>#REF!</v>
      </c>
      <c r="H8" s="62"/>
      <c r="I8" s="62"/>
      <c r="J8" s="62"/>
      <c r="K8" s="62"/>
      <c r="L8" s="62"/>
      <c r="M8" s="304" t="e">
        <f>#REF!*0.23</f>
        <v>#REF!</v>
      </c>
      <c r="N8" s="64"/>
      <c r="O8" s="62"/>
      <c r="P8" s="305"/>
      <c r="Q8" s="305"/>
      <c r="R8" s="71"/>
      <c r="S8" s="71"/>
      <c r="T8" s="71"/>
      <c r="U8" s="71"/>
      <c r="V8" s="71"/>
      <c r="W8" s="71"/>
      <c r="X8" s="71"/>
    </row>
    <row r="9" spans="1:24" ht="11.25" hidden="1" customHeight="1" x14ac:dyDescent="0.2">
      <c r="A9" s="296"/>
      <c r="B9" s="296" t="s">
        <v>82</v>
      </c>
      <c r="C9" s="65"/>
      <c r="D9" s="71"/>
      <c r="E9" s="303" t="e">
        <f>#REF!*0.14</f>
        <v>#REF!</v>
      </c>
      <c r="F9" s="62"/>
      <c r="G9" s="303" t="e">
        <f>#REF!*0.14</f>
        <v>#REF!</v>
      </c>
      <c r="H9" s="62"/>
      <c r="I9" s="62"/>
      <c r="J9" s="62"/>
      <c r="K9" s="62"/>
      <c r="L9" s="62"/>
      <c r="M9" s="304" t="e">
        <f>#REF!*0.14</f>
        <v>#REF!</v>
      </c>
      <c r="N9" s="64"/>
      <c r="O9" s="62"/>
      <c r="P9" s="305"/>
      <c r="Q9" s="305"/>
      <c r="R9" s="71"/>
      <c r="S9" s="71"/>
      <c r="T9" s="71"/>
      <c r="U9" s="71"/>
      <c r="V9" s="71"/>
      <c r="W9" s="71"/>
      <c r="X9" s="71"/>
    </row>
    <row r="10" spans="1:24" ht="11.25" hidden="1" customHeight="1" x14ac:dyDescent="0.2">
      <c r="A10" s="296"/>
      <c r="B10" s="296" t="s">
        <v>83</v>
      </c>
      <c r="C10" s="65"/>
      <c r="D10" s="71"/>
      <c r="E10" s="303" t="e">
        <f>#REF!*0.06</f>
        <v>#REF!</v>
      </c>
      <c r="F10" s="62"/>
      <c r="G10" s="303" t="e">
        <f>#REF!*0.06</f>
        <v>#REF!</v>
      </c>
      <c r="H10" s="62"/>
      <c r="I10" s="62"/>
      <c r="J10" s="62"/>
      <c r="K10" s="62"/>
      <c r="L10" s="62"/>
      <c r="M10" s="304" t="e">
        <f>#REF!*0.06</f>
        <v>#REF!</v>
      </c>
      <c r="N10" s="64"/>
      <c r="O10" s="62"/>
      <c r="P10" s="305"/>
      <c r="Q10" s="305"/>
      <c r="R10" s="71"/>
      <c r="S10" s="71"/>
      <c r="T10" s="71"/>
      <c r="U10" s="71"/>
      <c r="V10" s="71"/>
      <c r="W10" s="71"/>
      <c r="X10" s="71"/>
    </row>
    <row r="11" spans="1:24" ht="11.25" hidden="1" customHeight="1" x14ac:dyDescent="0.2">
      <c r="A11" s="296"/>
      <c r="B11" s="306" t="s">
        <v>84</v>
      </c>
      <c r="C11" s="83"/>
      <c r="D11" s="71"/>
      <c r="E11" s="307" t="e">
        <f>SUM(E7:E10)</f>
        <v>#REF!</v>
      </c>
      <c r="F11" s="79"/>
      <c r="G11" s="307" t="e">
        <f>SUM(G7:G10)</f>
        <v>#REF!</v>
      </c>
      <c r="H11" s="79"/>
      <c r="I11" s="79"/>
      <c r="J11" s="79"/>
      <c r="K11" s="79"/>
      <c r="L11" s="79"/>
      <c r="M11" s="308" t="e">
        <f>SUM(M7:M10)</f>
        <v>#REF!</v>
      </c>
      <c r="N11" s="64"/>
      <c r="O11" s="62"/>
      <c r="P11" s="305"/>
      <c r="Q11" s="305"/>
      <c r="R11" s="71"/>
      <c r="S11" s="71"/>
      <c r="T11" s="71"/>
      <c r="U11" s="71"/>
      <c r="V11" s="71"/>
      <c r="W11" s="71"/>
      <c r="X11" s="71"/>
    </row>
    <row r="12" spans="1:24" ht="11.25" hidden="1" customHeight="1" x14ac:dyDescent="0.2">
      <c r="A12" s="296"/>
      <c r="B12" s="296" t="s">
        <v>85</v>
      </c>
      <c r="C12" s="65"/>
      <c r="D12" s="71"/>
      <c r="E12" s="303" t="e">
        <f>E11-E7</f>
        <v>#REF!</v>
      </c>
      <c r="F12" s="62"/>
      <c r="G12" s="303" t="e">
        <f>G11-G7</f>
        <v>#REF!</v>
      </c>
      <c r="H12" s="62"/>
      <c r="I12" s="62"/>
      <c r="J12" s="62"/>
      <c r="K12" s="62"/>
      <c r="L12" s="62"/>
      <c r="M12" s="304" t="e">
        <f>M11-M7</f>
        <v>#REF!</v>
      </c>
      <c r="N12" s="64"/>
      <c r="O12" s="62"/>
      <c r="P12" s="305"/>
      <c r="Q12" s="305"/>
      <c r="R12" s="71"/>
      <c r="S12" s="71"/>
      <c r="T12" s="71"/>
      <c r="U12" s="71"/>
      <c r="V12" s="71"/>
      <c r="W12" s="71"/>
      <c r="X12" s="71"/>
    </row>
    <row r="13" spans="1:24" ht="11.25" hidden="1" customHeight="1" x14ac:dyDescent="0.2">
      <c r="A13" s="296"/>
      <c r="B13" s="296"/>
      <c r="C13" s="65"/>
      <c r="D13" s="71"/>
      <c r="E13" s="303"/>
      <c r="F13" s="62"/>
      <c r="G13" s="303"/>
      <c r="H13" s="62"/>
      <c r="I13" s="62"/>
      <c r="J13" s="62"/>
      <c r="K13" s="62"/>
      <c r="L13" s="62"/>
      <c r="M13" s="304"/>
      <c r="N13" s="64"/>
      <c r="O13" s="62"/>
      <c r="P13" s="305"/>
      <c r="Q13" s="305"/>
      <c r="R13" s="309" t="s">
        <v>86</v>
      </c>
      <c r="S13" s="71"/>
      <c r="T13" s="71"/>
      <c r="U13" s="71"/>
      <c r="V13" s="71"/>
      <c r="W13" s="71"/>
      <c r="X13" s="71"/>
    </row>
    <row r="14" spans="1:24" ht="46.5" hidden="1" customHeight="1" x14ac:dyDescent="0.2">
      <c r="A14" s="310"/>
      <c r="B14" s="311" t="s">
        <v>6</v>
      </c>
      <c r="C14" s="312" t="s">
        <v>87</v>
      </c>
      <c r="D14" s="313"/>
      <c r="E14" s="313" t="s">
        <v>88</v>
      </c>
      <c r="F14" s="314" t="s">
        <v>89</v>
      </c>
      <c r="G14" s="313" t="s">
        <v>88</v>
      </c>
      <c r="H14" s="314" t="s">
        <v>89</v>
      </c>
      <c r="I14" s="314" t="s">
        <v>84</v>
      </c>
      <c r="J14" s="314" t="s">
        <v>90</v>
      </c>
      <c r="K14" s="314"/>
      <c r="L14" s="314" t="s">
        <v>78</v>
      </c>
      <c r="M14" s="315"/>
      <c r="N14" s="316"/>
      <c r="O14" s="314"/>
      <c r="P14" s="314"/>
      <c r="Q14" s="314"/>
      <c r="R14" s="317" t="s">
        <v>91</v>
      </c>
      <c r="S14" s="313"/>
      <c r="T14" s="313"/>
      <c r="U14" s="313"/>
      <c r="V14" s="313"/>
      <c r="W14" s="313"/>
      <c r="X14" s="313"/>
    </row>
    <row r="15" spans="1:24" ht="15" hidden="1" customHeight="1" x14ac:dyDescent="0.2">
      <c r="A15" s="318">
        <v>1</v>
      </c>
      <c r="B15" s="311">
        <v>2</v>
      </c>
      <c r="C15" s="319" t="s">
        <v>92</v>
      </c>
      <c r="D15" s="320"/>
      <c r="E15" s="320"/>
      <c r="F15" s="46" t="s">
        <v>93</v>
      </c>
      <c r="G15" s="320"/>
      <c r="H15" s="46" t="s">
        <v>93</v>
      </c>
      <c r="I15" s="46" t="s">
        <v>94</v>
      </c>
      <c r="J15" s="46" t="s">
        <v>95</v>
      </c>
      <c r="K15" s="46"/>
      <c r="L15" s="46" t="s">
        <v>96</v>
      </c>
      <c r="M15" s="321"/>
      <c r="N15" s="48"/>
      <c r="O15" s="46"/>
      <c r="P15" s="49"/>
      <c r="Q15" s="49"/>
      <c r="R15" s="317" t="s">
        <v>97</v>
      </c>
      <c r="S15" s="320"/>
      <c r="T15" s="320"/>
      <c r="U15" s="320"/>
      <c r="V15" s="320"/>
      <c r="W15" s="320"/>
      <c r="X15" s="320"/>
    </row>
    <row r="16" spans="1:24" ht="12.2" hidden="1" customHeight="1" x14ac:dyDescent="0.2">
      <c r="A16" s="322">
        <v>3111</v>
      </c>
      <c r="B16" s="323" t="s">
        <v>25</v>
      </c>
      <c r="C16" s="324">
        <v>4787693.96</v>
      </c>
      <c r="D16" s="71"/>
      <c r="E16" s="71">
        <v>3657295.3</v>
      </c>
      <c r="F16" s="62">
        <v>420000</v>
      </c>
      <c r="G16" s="71">
        <v>3657295.3</v>
      </c>
      <c r="H16" s="62">
        <v>420000</v>
      </c>
      <c r="I16" s="62">
        <f>H16*3</f>
        <v>1260000</v>
      </c>
      <c r="J16" s="62">
        <f>G16+I16</f>
        <v>4917295.3</v>
      </c>
      <c r="K16" s="62"/>
      <c r="L16" s="62" t="e">
        <f>J16-#REF!</f>
        <v>#REF!</v>
      </c>
      <c r="M16" s="304"/>
      <c r="N16" s="62"/>
      <c r="O16" s="62"/>
      <c r="P16" s="65"/>
      <c r="Q16" s="65"/>
      <c r="R16" s="317" t="s">
        <v>98</v>
      </c>
      <c r="S16" s="71"/>
      <c r="T16" s="71"/>
      <c r="U16" s="71"/>
      <c r="V16" s="71"/>
      <c r="W16" s="71"/>
      <c r="X16" s="71"/>
    </row>
    <row r="17" spans="1:24" ht="12.2" hidden="1" customHeight="1" x14ac:dyDescent="0.2">
      <c r="A17" s="325">
        <v>311</v>
      </c>
      <c r="B17" s="326" t="s">
        <v>26</v>
      </c>
      <c r="C17" s="327">
        <f t="shared" ref="C17" si="2">C16</f>
        <v>4787693.96</v>
      </c>
      <c r="D17" s="89"/>
      <c r="E17" s="89">
        <f>E16</f>
        <v>3657295.3</v>
      </c>
      <c r="F17" s="79">
        <f t="shared" ref="F17" si="3">F16</f>
        <v>420000</v>
      </c>
      <c r="G17" s="89">
        <f>G16</f>
        <v>3657295.3</v>
      </c>
      <c r="H17" s="79">
        <f t="shared" ref="H17:L17" si="4">H16</f>
        <v>420000</v>
      </c>
      <c r="I17" s="79">
        <f t="shared" si="4"/>
        <v>1260000</v>
      </c>
      <c r="J17" s="79">
        <f t="shared" si="4"/>
        <v>4917295.3</v>
      </c>
      <c r="K17" s="79"/>
      <c r="L17" s="79" t="e">
        <f t="shared" si="4"/>
        <v>#REF!</v>
      </c>
      <c r="M17" s="308"/>
      <c r="N17" s="82"/>
      <c r="O17" s="82"/>
      <c r="P17" s="83"/>
      <c r="Q17" s="83"/>
      <c r="R17" s="317" t="s">
        <v>99</v>
      </c>
      <c r="S17" s="89"/>
      <c r="T17" s="89"/>
      <c r="U17" s="89"/>
      <c r="V17" s="89"/>
      <c r="W17" s="89"/>
      <c r="X17" s="89"/>
    </row>
    <row r="18" spans="1:24" ht="12.2" hidden="1" customHeight="1" x14ac:dyDescent="0.2">
      <c r="A18" s="322">
        <v>3131</v>
      </c>
      <c r="B18" s="323" t="s">
        <v>27</v>
      </c>
      <c r="C18" s="324">
        <v>373935.75</v>
      </c>
      <c r="D18" s="71"/>
      <c r="E18" s="71">
        <v>285534.3</v>
      </c>
      <c r="F18" s="62">
        <f>F16*7.84/100</f>
        <v>32928</v>
      </c>
      <c r="G18" s="71">
        <v>285534.3</v>
      </c>
      <c r="H18" s="62">
        <f>H16*7.84/100</f>
        <v>32928</v>
      </c>
      <c r="I18" s="62">
        <f>H18*3</f>
        <v>98784</v>
      </c>
      <c r="J18" s="62">
        <f>G18+I18</f>
        <v>384318.3</v>
      </c>
      <c r="K18" s="62"/>
      <c r="L18" s="62" t="e">
        <f>J18-#REF!</f>
        <v>#REF!</v>
      </c>
      <c r="M18" s="304"/>
      <c r="N18" s="62"/>
      <c r="O18" s="62"/>
      <c r="P18" s="65"/>
      <c r="Q18" s="65"/>
      <c r="R18" s="317" t="s">
        <v>100</v>
      </c>
      <c r="S18" s="71"/>
      <c r="T18" s="71"/>
      <c r="U18" s="71"/>
      <c r="V18" s="71"/>
      <c r="W18" s="71"/>
      <c r="X18" s="71"/>
    </row>
    <row r="19" spans="1:24" ht="12.2" hidden="1" customHeight="1" x14ac:dyDescent="0.2">
      <c r="A19" s="322">
        <v>3132</v>
      </c>
      <c r="B19" s="328" t="s">
        <v>28</v>
      </c>
      <c r="C19" s="324">
        <v>742445</v>
      </c>
      <c r="D19" s="71"/>
      <c r="E19" s="71">
        <v>548594.37</v>
      </c>
      <c r="F19" s="62">
        <f>F16*15.5/100</f>
        <v>65100</v>
      </c>
      <c r="G19" s="71">
        <v>548594.37</v>
      </c>
      <c r="H19" s="62">
        <f>H16*15.5/100</f>
        <v>65100</v>
      </c>
      <c r="I19" s="62">
        <f>H19*3</f>
        <v>195300</v>
      </c>
      <c r="J19" s="62">
        <f>G19+I19</f>
        <v>743894.37</v>
      </c>
      <c r="K19" s="62"/>
      <c r="L19" s="62" t="e">
        <f>J19-#REF!</f>
        <v>#REF!</v>
      </c>
      <c r="M19" s="304"/>
      <c r="N19" s="62"/>
      <c r="O19" s="62"/>
      <c r="P19" s="65"/>
      <c r="Q19" s="65"/>
      <c r="R19" s="317" t="s">
        <v>101</v>
      </c>
      <c r="S19" s="71"/>
      <c r="T19" s="71"/>
      <c r="U19" s="71"/>
      <c r="V19" s="71"/>
      <c r="W19" s="71"/>
      <c r="X19" s="71"/>
    </row>
    <row r="20" spans="1:24" ht="12.2" hidden="1" customHeight="1" x14ac:dyDescent="0.2">
      <c r="A20" s="322">
        <v>3133</v>
      </c>
      <c r="B20" s="323" t="s">
        <v>29</v>
      </c>
      <c r="C20" s="324">
        <v>81830.100000000006</v>
      </c>
      <c r="D20" s="71"/>
      <c r="E20" s="71">
        <v>62174</v>
      </c>
      <c r="F20" s="62">
        <f>F16*1.7/100</f>
        <v>7140</v>
      </c>
      <c r="G20" s="71">
        <v>62174</v>
      </c>
      <c r="H20" s="62">
        <f>H16*1.7/100</f>
        <v>7140</v>
      </c>
      <c r="I20" s="62">
        <f>H20*3</f>
        <v>21420</v>
      </c>
      <c r="J20" s="62">
        <f>G20+I20</f>
        <v>83594</v>
      </c>
      <c r="K20" s="62"/>
      <c r="L20" s="62" t="e">
        <f>J20-#REF!</f>
        <v>#REF!</v>
      </c>
      <c r="M20" s="304"/>
      <c r="N20" s="62"/>
      <c r="O20" s="62"/>
      <c r="P20" s="65"/>
      <c r="Q20" s="65"/>
      <c r="R20" s="317" t="s">
        <v>102</v>
      </c>
      <c r="S20" s="71"/>
      <c r="T20" s="71"/>
      <c r="U20" s="71"/>
      <c r="V20" s="71"/>
      <c r="W20" s="71"/>
      <c r="X20" s="71"/>
    </row>
    <row r="21" spans="1:24" ht="12.2" hidden="1" customHeight="1" x14ac:dyDescent="0.2">
      <c r="A21" s="325">
        <v>313</v>
      </c>
      <c r="B21" s="326" t="s">
        <v>30</v>
      </c>
      <c r="C21" s="327">
        <f t="shared" ref="C21" si="5">SUM(C18:C20)</f>
        <v>1198210.8500000001</v>
      </c>
      <c r="D21" s="89"/>
      <c r="E21" s="89">
        <f>SUM(E18:E20)</f>
        <v>896302.66999999993</v>
      </c>
      <c r="F21" s="79">
        <f t="shared" ref="F21" si="6">SUM(F18:F20)</f>
        <v>105168</v>
      </c>
      <c r="G21" s="89">
        <f>SUM(G18:G20)</f>
        <v>896302.66999999993</v>
      </c>
      <c r="H21" s="79">
        <f t="shared" ref="H21:L21" si="7">SUM(H18:H20)</f>
        <v>105168</v>
      </c>
      <c r="I21" s="79">
        <f t="shared" si="7"/>
        <v>315504</v>
      </c>
      <c r="J21" s="79">
        <f t="shared" si="7"/>
        <v>1211806.67</v>
      </c>
      <c r="K21" s="79"/>
      <c r="L21" s="79" t="e">
        <f t="shared" si="7"/>
        <v>#REF!</v>
      </c>
      <c r="M21" s="308"/>
      <c r="N21" s="81"/>
      <c r="O21" s="82"/>
      <c r="P21" s="83"/>
      <c r="Q21" s="83"/>
      <c r="R21" s="317" t="s">
        <v>103</v>
      </c>
      <c r="S21" s="89"/>
      <c r="T21" s="89"/>
      <c r="U21" s="89"/>
      <c r="V21" s="89"/>
      <c r="W21" s="89"/>
      <c r="X21" s="89"/>
    </row>
    <row r="22" spans="1:24" ht="12.2" hidden="1" customHeight="1" x14ac:dyDescent="0.2">
      <c r="A22" s="322">
        <v>3121</v>
      </c>
      <c r="B22" s="328" t="s">
        <v>31</v>
      </c>
      <c r="C22" s="324">
        <v>296393.5</v>
      </c>
      <c r="D22" s="71"/>
      <c r="E22" s="71">
        <v>204493.61</v>
      </c>
      <c r="F22" s="62">
        <v>0</v>
      </c>
      <c r="G22" s="71">
        <v>204493.61</v>
      </c>
      <c r="H22" s="62">
        <v>0</v>
      </c>
      <c r="I22" s="62">
        <v>175506</v>
      </c>
      <c r="J22" s="62">
        <f>G22+I22</f>
        <v>379999.61</v>
      </c>
      <c r="K22" s="62"/>
      <c r="L22" s="62" t="e">
        <f>J22-#REF!</f>
        <v>#REF!</v>
      </c>
      <c r="M22" s="304"/>
      <c r="N22" s="64"/>
      <c r="O22" s="329"/>
      <c r="P22" s="330"/>
      <c r="Q22" s="330"/>
      <c r="R22" s="71"/>
      <c r="S22" s="71"/>
      <c r="T22" s="71"/>
      <c r="U22" s="71"/>
      <c r="V22" s="71"/>
      <c r="W22" s="71"/>
      <c r="X22" s="71"/>
    </row>
    <row r="23" spans="1:24" ht="12.2" hidden="1" customHeight="1" x14ac:dyDescent="0.2">
      <c r="A23" s="325">
        <v>312</v>
      </c>
      <c r="B23" s="326" t="s">
        <v>32</v>
      </c>
      <c r="C23" s="327">
        <f t="shared" ref="C23" si="8">C22</f>
        <v>296393.5</v>
      </c>
      <c r="D23" s="89"/>
      <c r="E23" s="89">
        <f t="shared" ref="E23:L23" si="9">E22</f>
        <v>204493.61</v>
      </c>
      <c r="F23" s="79">
        <f t="shared" si="9"/>
        <v>0</v>
      </c>
      <c r="G23" s="89">
        <f t="shared" si="9"/>
        <v>204493.61</v>
      </c>
      <c r="H23" s="79">
        <f t="shared" si="9"/>
        <v>0</v>
      </c>
      <c r="I23" s="79">
        <f t="shared" si="9"/>
        <v>175506</v>
      </c>
      <c r="J23" s="79">
        <f t="shared" si="9"/>
        <v>379999.61</v>
      </c>
      <c r="K23" s="79"/>
      <c r="L23" s="79" t="e">
        <f t="shared" si="9"/>
        <v>#REF!</v>
      </c>
      <c r="M23" s="308"/>
      <c r="N23" s="81"/>
      <c r="O23" s="82"/>
      <c r="P23" s="83"/>
      <c r="Q23" s="83"/>
      <c r="R23" s="89"/>
      <c r="S23" s="89"/>
      <c r="T23" s="89"/>
      <c r="U23" s="89"/>
      <c r="V23" s="89"/>
      <c r="W23" s="89"/>
      <c r="X23" s="89"/>
    </row>
    <row r="24" spans="1:24" ht="11.25" hidden="1" customHeight="1" x14ac:dyDescent="0.2">
      <c r="A24" s="331">
        <v>31</v>
      </c>
      <c r="B24" s="331" t="s">
        <v>33</v>
      </c>
      <c r="C24" s="327">
        <f>C17+C21+C23</f>
        <v>6282298.3100000005</v>
      </c>
      <c r="D24" s="89"/>
      <c r="E24" s="89">
        <f t="shared" ref="E24:L24" si="10">E16+E18+E19+E20+E22</f>
        <v>4758091.58</v>
      </c>
      <c r="F24" s="79">
        <f t="shared" si="10"/>
        <v>525168</v>
      </c>
      <c r="G24" s="89">
        <f t="shared" si="10"/>
        <v>4758091.58</v>
      </c>
      <c r="H24" s="79">
        <f t="shared" si="10"/>
        <v>525168</v>
      </c>
      <c r="I24" s="79">
        <f t="shared" si="10"/>
        <v>1751010</v>
      </c>
      <c r="J24" s="79">
        <f t="shared" si="10"/>
        <v>6509101.5800000001</v>
      </c>
      <c r="K24" s="79"/>
      <c r="L24" s="79" t="e">
        <f t="shared" si="10"/>
        <v>#REF!</v>
      </c>
      <c r="M24" s="308"/>
      <c r="N24" s="81"/>
      <c r="O24" s="82"/>
      <c r="P24" s="83"/>
      <c r="Q24" s="83"/>
      <c r="R24" s="89"/>
      <c r="S24" s="89"/>
      <c r="T24" s="89"/>
      <c r="U24" s="89"/>
      <c r="V24" s="89"/>
      <c r="W24" s="89"/>
      <c r="X24" s="89"/>
    </row>
    <row r="25" spans="1:24" ht="12.2" hidden="1" customHeight="1" x14ac:dyDescent="0.2">
      <c r="A25" s="322">
        <v>3212</v>
      </c>
      <c r="B25" s="328" t="s">
        <v>35</v>
      </c>
      <c r="C25" s="324">
        <v>133970.44</v>
      </c>
      <c r="D25" s="71"/>
      <c r="E25" s="71">
        <v>101680.66</v>
      </c>
      <c r="F25" s="62">
        <v>12400</v>
      </c>
      <c r="G25" s="71">
        <v>101680.66</v>
      </c>
      <c r="H25" s="62">
        <v>12400</v>
      </c>
      <c r="I25" s="62">
        <f>H25*3</f>
        <v>37200</v>
      </c>
      <c r="J25" s="62">
        <f>G25+I25</f>
        <v>138880.66</v>
      </c>
      <c r="K25" s="62"/>
      <c r="L25" s="62" t="e">
        <f>J25-#REF!</f>
        <v>#REF!</v>
      </c>
      <c r="M25" s="304"/>
      <c r="N25" s="64"/>
      <c r="O25" s="62"/>
      <c r="P25" s="62"/>
      <c r="Q25" s="62"/>
      <c r="R25" s="71"/>
      <c r="S25" s="71"/>
      <c r="T25" s="71"/>
      <c r="U25" s="71"/>
      <c r="V25" s="71"/>
      <c r="W25" s="71"/>
      <c r="X25" s="71"/>
    </row>
    <row r="26" spans="1:24" ht="11.25" hidden="1" customHeight="1" x14ac:dyDescent="0.2">
      <c r="A26" s="296"/>
      <c r="B26" s="296"/>
      <c r="C26" s="65"/>
      <c r="D26" s="71"/>
      <c r="E26" s="303"/>
      <c r="F26" s="62"/>
      <c r="G26" s="303"/>
      <c r="H26" s="62"/>
      <c r="I26" s="62"/>
      <c r="J26" s="62"/>
      <c r="K26" s="62"/>
      <c r="L26" s="62" t="e">
        <f>L24+L25</f>
        <v>#REF!</v>
      </c>
      <c r="M26" s="304"/>
      <c r="N26" s="64"/>
      <c r="O26" s="62"/>
      <c r="P26" s="305"/>
      <c r="Q26" s="305"/>
      <c r="R26" s="71"/>
      <c r="S26" s="71"/>
      <c r="T26" s="71"/>
      <c r="U26" s="71"/>
      <c r="V26" s="71"/>
      <c r="W26" s="71"/>
      <c r="X26" s="71"/>
    </row>
    <row r="27" spans="1:24" ht="22.5" hidden="1" customHeight="1" x14ac:dyDescent="0.2">
      <c r="A27" s="310"/>
      <c r="B27" s="311" t="s">
        <v>6</v>
      </c>
      <c r="C27" s="312" t="s">
        <v>87</v>
      </c>
      <c r="D27" s="71"/>
      <c r="E27" s="313" t="s">
        <v>88</v>
      </c>
      <c r="F27" s="314" t="s">
        <v>89</v>
      </c>
      <c r="G27" s="313" t="s">
        <v>88</v>
      </c>
      <c r="H27" s="314" t="s">
        <v>89</v>
      </c>
      <c r="I27" s="314" t="s">
        <v>84</v>
      </c>
      <c r="J27" s="314" t="s">
        <v>90</v>
      </c>
      <c r="K27" s="314"/>
      <c r="L27" s="314" t="s">
        <v>78</v>
      </c>
      <c r="M27" s="304"/>
      <c r="N27" s="64"/>
      <c r="O27" s="62"/>
      <c r="P27" s="305"/>
      <c r="Q27" s="305"/>
      <c r="R27" s="71"/>
      <c r="S27" s="71"/>
      <c r="T27" s="71"/>
      <c r="U27" s="71"/>
      <c r="V27" s="71"/>
      <c r="W27" s="71"/>
      <c r="X27" s="71"/>
    </row>
    <row r="28" spans="1:24" ht="11.25" hidden="1" customHeight="1" x14ac:dyDescent="0.2">
      <c r="A28" s="318">
        <v>1</v>
      </c>
      <c r="B28" s="311">
        <v>2</v>
      </c>
      <c r="C28" s="319" t="s">
        <v>92</v>
      </c>
      <c r="D28" s="71"/>
      <c r="E28" s="320"/>
      <c r="F28" s="46" t="s">
        <v>93</v>
      </c>
      <c r="G28" s="320"/>
      <c r="H28" s="46" t="s">
        <v>93</v>
      </c>
      <c r="I28" s="46" t="s">
        <v>94</v>
      </c>
      <c r="J28" s="46" t="s">
        <v>95</v>
      </c>
      <c r="K28" s="46"/>
      <c r="L28" s="46" t="s">
        <v>96</v>
      </c>
      <c r="M28" s="304"/>
      <c r="N28" s="64"/>
      <c r="O28" s="62"/>
      <c r="P28" s="305"/>
      <c r="Q28" s="305"/>
      <c r="R28" s="71"/>
      <c r="S28" s="71"/>
      <c r="T28" s="71"/>
      <c r="U28" s="71"/>
      <c r="V28" s="71"/>
      <c r="W28" s="71"/>
      <c r="X28" s="71"/>
    </row>
    <row r="29" spans="1:24" ht="11.25" hidden="1" customHeight="1" x14ac:dyDescent="0.2">
      <c r="A29" s="322">
        <v>3111</v>
      </c>
      <c r="B29" s="323" t="s">
        <v>25</v>
      </c>
      <c r="C29" s="324">
        <v>4787693.96</v>
      </c>
      <c r="D29" s="71"/>
      <c r="E29" s="71">
        <v>3657295.3</v>
      </c>
      <c r="F29" s="62">
        <v>429300</v>
      </c>
      <c r="G29" s="71">
        <v>3657295.3</v>
      </c>
      <c r="H29" s="62">
        <v>429300</v>
      </c>
      <c r="I29" s="62">
        <f>H29*3</f>
        <v>1287900</v>
      </c>
      <c r="J29" s="62">
        <f>G29+I29</f>
        <v>4945195.3</v>
      </c>
      <c r="K29" s="62"/>
      <c r="L29" s="62" t="e">
        <f>J29-#REF!</f>
        <v>#REF!</v>
      </c>
      <c r="M29" s="304"/>
      <c r="N29" s="64"/>
      <c r="O29" s="62"/>
      <c r="P29" s="305"/>
      <c r="Q29" s="305"/>
      <c r="R29" s="71"/>
      <c r="S29" s="71"/>
      <c r="T29" s="71"/>
      <c r="U29" s="71"/>
      <c r="V29" s="71"/>
      <c r="W29" s="71"/>
      <c r="X29" s="71"/>
    </row>
    <row r="30" spans="1:24" ht="11.25" hidden="1" customHeight="1" x14ac:dyDescent="0.2">
      <c r="A30" s="325">
        <v>311</v>
      </c>
      <c r="B30" s="326" t="s">
        <v>26</v>
      </c>
      <c r="C30" s="327">
        <f t="shared" ref="C30" si="11">C29</f>
        <v>4787693.96</v>
      </c>
      <c r="D30" s="71"/>
      <c r="E30" s="89">
        <f t="shared" ref="E30:L30" si="12">E29</f>
        <v>3657295.3</v>
      </c>
      <c r="F30" s="79">
        <f t="shared" si="12"/>
        <v>429300</v>
      </c>
      <c r="G30" s="89">
        <f t="shared" si="12"/>
        <v>3657295.3</v>
      </c>
      <c r="H30" s="79">
        <f t="shared" si="12"/>
        <v>429300</v>
      </c>
      <c r="I30" s="79">
        <f t="shared" si="12"/>
        <v>1287900</v>
      </c>
      <c r="J30" s="79">
        <f t="shared" si="12"/>
        <v>4945195.3</v>
      </c>
      <c r="K30" s="79"/>
      <c r="L30" s="79" t="e">
        <f t="shared" si="12"/>
        <v>#REF!</v>
      </c>
      <c r="M30" s="304"/>
      <c r="N30" s="64"/>
      <c r="O30" s="62"/>
      <c r="P30" s="305"/>
      <c r="Q30" s="305"/>
      <c r="R30" s="71"/>
      <c r="S30" s="71"/>
      <c r="T30" s="71"/>
      <c r="U30" s="71"/>
      <c r="V30" s="71"/>
      <c r="W30" s="71"/>
      <c r="X30" s="71"/>
    </row>
    <row r="31" spans="1:24" ht="11.25" hidden="1" customHeight="1" x14ac:dyDescent="0.2">
      <c r="A31" s="322">
        <v>3131</v>
      </c>
      <c r="B31" s="323" t="s">
        <v>27</v>
      </c>
      <c r="C31" s="324">
        <v>373935.75</v>
      </c>
      <c r="D31" s="71"/>
      <c r="E31" s="71">
        <v>285534.3</v>
      </c>
      <c r="F31" s="62">
        <f>F29*7.84/100</f>
        <v>33657.120000000003</v>
      </c>
      <c r="G31" s="71">
        <v>285534.3</v>
      </c>
      <c r="H31" s="62">
        <f>H29*7.84/100</f>
        <v>33657.120000000003</v>
      </c>
      <c r="I31" s="62">
        <f>H31*3</f>
        <v>100971.36000000002</v>
      </c>
      <c r="J31" s="62">
        <f>G31+I31</f>
        <v>386505.66000000003</v>
      </c>
      <c r="K31" s="62"/>
      <c r="L31" s="62" t="e">
        <f>J31-#REF!</f>
        <v>#REF!</v>
      </c>
      <c r="M31" s="304"/>
      <c r="N31" s="64"/>
      <c r="O31" s="62"/>
      <c r="P31" s="305"/>
      <c r="Q31" s="305"/>
      <c r="R31" s="71"/>
      <c r="S31" s="71"/>
      <c r="T31" s="71"/>
      <c r="U31" s="71"/>
      <c r="V31" s="71"/>
      <c r="W31" s="71"/>
      <c r="X31" s="71"/>
    </row>
    <row r="32" spans="1:24" ht="11.25" hidden="1" customHeight="1" x14ac:dyDescent="0.2">
      <c r="A32" s="322">
        <v>3132</v>
      </c>
      <c r="B32" s="328" t="s">
        <v>28</v>
      </c>
      <c r="C32" s="324">
        <v>742445</v>
      </c>
      <c r="D32" s="71"/>
      <c r="E32" s="71">
        <v>548594.37</v>
      </c>
      <c r="F32" s="62">
        <f>F29*15.5/100</f>
        <v>66541.5</v>
      </c>
      <c r="G32" s="71">
        <v>548594.37</v>
      </c>
      <c r="H32" s="62">
        <f>H29*15.5/100</f>
        <v>66541.5</v>
      </c>
      <c r="I32" s="62">
        <f>H32*3</f>
        <v>199624.5</v>
      </c>
      <c r="J32" s="62">
        <f>G32+I32</f>
        <v>748218.87</v>
      </c>
      <c r="K32" s="62"/>
      <c r="L32" s="62" t="e">
        <f>J32-#REF!</f>
        <v>#REF!</v>
      </c>
      <c r="M32" s="304"/>
      <c r="N32" s="64"/>
      <c r="O32" s="62"/>
      <c r="P32" s="305"/>
      <c r="Q32" s="305"/>
      <c r="R32" s="71"/>
      <c r="S32" s="71"/>
      <c r="T32" s="71"/>
      <c r="U32" s="71"/>
      <c r="V32" s="71"/>
      <c r="W32" s="71"/>
      <c r="X32" s="71"/>
    </row>
    <row r="33" spans="1:24" ht="11.25" hidden="1" customHeight="1" x14ac:dyDescent="0.2">
      <c r="A33" s="322">
        <v>3133</v>
      </c>
      <c r="B33" s="323" t="s">
        <v>29</v>
      </c>
      <c r="C33" s="324">
        <v>81830.100000000006</v>
      </c>
      <c r="D33" s="71"/>
      <c r="E33" s="71">
        <v>62174</v>
      </c>
      <c r="F33" s="62">
        <f>F29*1.7/100</f>
        <v>7298.1</v>
      </c>
      <c r="G33" s="71">
        <v>62174</v>
      </c>
      <c r="H33" s="62">
        <f>H29*1.7/100</f>
        <v>7298.1</v>
      </c>
      <c r="I33" s="62">
        <f>H33*3</f>
        <v>21894.300000000003</v>
      </c>
      <c r="J33" s="62">
        <f>G33+I33</f>
        <v>84068.3</v>
      </c>
      <c r="K33" s="62"/>
      <c r="L33" s="62" t="e">
        <f>J33-#REF!</f>
        <v>#REF!</v>
      </c>
      <c r="M33" s="304"/>
      <c r="N33" s="64"/>
      <c r="O33" s="62"/>
      <c r="P33" s="305"/>
      <c r="Q33" s="305"/>
      <c r="R33" s="71"/>
      <c r="S33" s="71"/>
      <c r="T33" s="71"/>
      <c r="U33" s="71"/>
      <c r="V33" s="71"/>
      <c r="W33" s="71"/>
      <c r="X33" s="71"/>
    </row>
    <row r="34" spans="1:24" ht="11.25" hidden="1" customHeight="1" x14ac:dyDescent="0.2">
      <c r="A34" s="325">
        <v>313</v>
      </c>
      <c r="B34" s="326" t="s">
        <v>30</v>
      </c>
      <c r="C34" s="327">
        <f t="shared" ref="C34" si="13">SUM(C31:C33)</f>
        <v>1198210.8500000001</v>
      </c>
      <c r="D34" s="71"/>
      <c r="E34" s="89">
        <f t="shared" ref="E34:L34" si="14">SUM(E31:E33)</f>
        <v>896302.66999999993</v>
      </c>
      <c r="F34" s="79">
        <f t="shared" si="14"/>
        <v>107496.72</v>
      </c>
      <c r="G34" s="89">
        <f t="shared" si="14"/>
        <v>896302.66999999993</v>
      </c>
      <c r="H34" s="79">
        <f t="shared" si="14"/>
        <v>107496.72</v>
      </c>
      <c r="I34" s="79">
        <f t="shared" si="14"/>
        <v>322490.15999999997</v>
      </c>
      <c r="J34" s="79">
        <f t="shared" si="14"/>
        <v>1218792.83</v>
      </c>
      <c r="K34" s="79"/>
      <c r="L34" s="79" t="e">
        <f t="shared" si="14"/>
        <v>#REF!</v>
      </c>
      <c r="M34" s="304"/>
      <c r="N34" s="64"/>
      <c r="O34" s="62"/>
      <c r="P34" s="305"/>
      <c r="Q34" s="305"/>
      <c r="R34" s="71"/>
      <c r="S34" s="71"/>
      <c r="T34" s="71"/>
      <c r="U34" s="71"/>
      <c r="V34" s="71"/>
      <c r="W34" s="71"/>
      <c r="X34" s="71"/>
    </row>
    <row r="35" spans="1:24" ht="11.25" hidden="1" customHeight="1" x14ac:dyDescent="0.2">
      <c r="A35" s="322">
        <v>3121</v>
      </c>
      <c r="B35" s="328" t="s">
        <v>31</v>
      </c>
      <c r="C35" s="324">
        <v>296393.5</v>
      </c>
      <c r="D35" s="71"/>
      <c r="E35" s="71">
        <v>204493.61</v>
      </c>
      <c r="F35" s="62">
        <v>0</v>
      </c>
      <c r="G35" s="71">
        <v>204493.61</v>
      </c>
      <c r="H35" s="62">
        <v>0</v>
      </c>
      <c r="I35" s="62">
        <v>175506</v>
      </c>
      <c r="J35" s="62">
        <f>G35+I35</f>
        <v>379999.61</v>
      </c>
      <c r="K35" s="62"/>
      <c r="L35" s="62" t="e">
        <f>J35-#REF!</f>
        <v>#REF!</v>
      </c>
      <c r="M35" s="304"/>
      <c r="N35" s="64"/>
      <c r="O35" s="62"/>
      <c r="P35" s="305"/>
      <c r="Q35" s="305"/>
      <c r="R35" s="71"/>
      <c r="S35" s="71"/>
      <c r="T35" s="71"/>
      <c r="U35" s="71"/>
      <c r="V35" s="71"/>
      <c r="W35" s="71"/>
      <c r="X35" s="71"/>
    </row>
    <row r="36" spans="1:24" ht="11.25" hidden="1" customHeight="1" x14ac:dyDescent="0.2">
      <c r="A36" s="325">
        <v>312</v>
      </c>
      <c r="B36" s="326" t="s">
        <v>32</v>
      </c>
      <c r="C36" s="327">
        <f t="shared" ref="C36" si="15">C35</f>
        <v>296393.5</v>
      </c>
      <c r="D36" s="71"/>
      <c r="E36" s="89">
        <f t="shared" ref="E36:L36" si="16">E35</f>
        <v>204493.61</v>
      </c>
      <c r="F36" s="79">
        <f t="shared" si="16"/>
        <v>0</v>
      </c>
      <c r="G36" s="89">
        <f t="shared" si="16"/>
        <v>204493.61</v>
      </c>
      <c r="H36" s="79">
        <f t="shared" si="16"/>
        <v>0</v>
      </c>
      <c r="I36" s="79">
        <f t="shared" si="16"/>
        <v>175506</v>
      </c>
      <c r="J36" s="79">
        <f t="shared" si="16"/>
        <v>379999.61</v>
      </c>
      <c r="K36" s="79"/>
      <c r="L36" s="79" t="e">
        <f t="shared" si="16"/>
        <v>#REF!</v>
      </c>
      <c r="M36" s="304"/>
      <c r="N36" s="64"/>
      <c r="O36" s="62"/>
      <c r="P36" s="305"/>
      <c r="Q36" s="305"/>
      <c r="R36" s="71"/>
      <c r="S36" s="71"/>
      <c r="T36" s="71"/>
      <c r="U36" s="71"/>
      <c r="V36" s="71"/>
      <c r="W36" s="71"/>
      <c r="X36" s="71"/>
    </row>
    <row r="37" spans="1:24" ht="11.25" hidden="1" customHeight="1" x14ac:dyDescent="0.2">
      <c r="A37" s="332">
        <v>31</v>
      </c>
      <c r="B37" s="332" t="s">
        <v>33</v>
      </c>
      <c r="C37" s="333">
        <f>C30+C34+C36</f>
        <v>6282298.3100000005</v>
      </c>
      <c r="E37" s="290">
        <f t="shared" ref="E37:L37" si="17">E29+E31+E32+E33+E35</f>
        <v>4758091.58</v>
      </c>
      <c r="F37" s="10">
        <f t="shared" si="17"/>
        <v>536796.72</v>
      </c>
      <c r="G37" s="290">
        <f t="shared" si="17"/>
        <v>4758091.58</v>
      </c>
      <c r="H37" s="10">
        <f t="shared" si="17"/>
        <v>536796.72</v>
      </c>
      <c r="I37" s="10">
        <f t="shared" si="17"/>
        <v>1785896.1600000001</v>
      </c>
      <c r="J37" s="10">
        <f t="shared" si="17"/>
        <v>6543987.7400000002</v>
      </c>
      <c r="K37" s="10"/>
      <c r="L37" s="10" t="e">
        <f t="shared" si="17"/>
        <v>#REF!</v>
      </c>
    </row>
    <row r="38" spans="1:24" ht="11.25" hidden="1" customHeight="1" x14ac:dyDescent="0.2">
      <c r="A38" s="334">
        <v>3212</v>
      </c>
      <c r="B38" s="335" t="s">
        <v>35</v>
      </c>
      <c r="C38" s="336">
        <v>133970.44</v>
      </c>
      <c r="E38" s="3">
        <v>101680.66</v>
      </c>
      <c r="F38" s="5">
        <v>12400</v>
      </c>
      <c r="G38" s="3">
        <v>101680.66</v>
      </c>
      <c r="H38" s="5">
        <v>12400</v>
      </c>
      <c r="I38" s="5">
        <f>H38*3</f>
        <v>37200</v>
      </c>
      <c r="J38" s="5">
        <f>G38+I38</f>
        <v>138880.66</v>
      </c>
      <c r="L38" s="5" t="e">
        <f>J38-#REF!</f>
        <v>#REF!</v>
      </c>
    </row>
    <row r="39" spans="1:24" ht="11.25" hidden="1" customHeight="1" x14ac:dyDescent="0.2"/>
    <row r="40" spans="1:24" s="3" customFormat="1" ht="11.25" hidden="1" customHeight="1" x14ac:dyDescent="0.2">
      <c r="A40" s="1"/>
      <c r="B40" s="1"/>
      <c r="C40" s="2"/>
      <c r="E40" s="4"/>
      <c r="F40" s="5"/>
      <c r="G40" s="4"/>
      <c r="H40" s="5"/>
      <c r="I40" s="5"/>
      <c r="J40" s="5"/>
      <c r="K40" s="5"/>
      <c r="L40" s="5"/>
      <c r="M40" s="6"/>
      <c r="N40" s="7"/>
      <c r="O40" s="5"/>
      <c r="P40" s="8"/>
      <c r="Q40" s="8"/>
    </row>
    <row r="41" spans="1:24" s="3" customFormat="1" ht="11.25" hidden="1" customHeight="1" x14ac:dyDescent="0.2">
      <c r="A41" s="1"/>
      <c r="B41" s="1">
        <v>1</v>
      </c>
      <c r="C41" s="2"/>
      <c r="E41" s="4"/>
      <c r="F41" s="5"/>
      <c r="G41" s="4"/>
      <c r="H41" s="5"/>
      <c r="I41" s="5"/>
      <c r="J41" s="5"/>
      <c r="K41" s="5"/>
      <c r="L41" s="5"/>
      <c r="M41" s="6"/>
      <c r="N41" s="7"/>
      <c r="O41" s="5"/>
      <c r="P41" s="8"/>
      <c r="Q41" s="8"/>
    </row>
    <row r="42" spans="1:24" s="3" customFormat="1" ht="11.25" hidden="1" customHeight="1" x14ac:dyDescent="0.2">
      <c r="A42" s="1"/>
      <c r="B42" s="1">
        <v>2</v>
      </c>
      <c r="C42" s="2"/>
      <c r="E42" s="4"/>
      <c r="F42" s="5"/>
      <c r="G42" s="4"/>
      <c r="H42" s="5"/>
      <c r="I42" s="5"/>
      <c r="J42" s="5"/>
      <c r="K42" s="5"/>
      <c r="L42" s="5"/>
      <c r="M42" s="6"/>
      <c r="N42" s="7"/>
      <c r="O42" s="5"/>
      <c r="P42" s="8"/>
      <c r="Q42" s="8"/>
    </row>
    <row r="43" spans="1:24" s="3" customFormat="1" ht="11.25" hidden="1" customHeight="1" x14ac:dyDescent="0.2">
      <c r="A43" s="1"/>
      <c r="B43" s="1">
        <v>3</v>
      </c>
      <c r="C43" s="2"/>
      <c r="E43" s="4"/>
      <c r="F43" s="5"/>
      <c r="G43" s="4"/>
      <c r="H43" s="5"/>
      <c r="I43" s="5"/>
      <c r="J43" s="5"/>
      <c r="K43" s="5"/>
      <c r="L43" s="5"/>
      <c r="M43" s="6"/>
      <c r="N43" s="7"/>
      <c r="O43" s="5"/>
      <c r="P43" s="8"/>
      <c r="Q43" s="8"/>
    </row>
    <row r="44" spans="1:24" s="3" customFormat="1" ht="11.25" hidden="1" customHeight="1" x14ac:dyDescent="0.2">
      <c r="A44" s="1"/>
      <c r="B44" s="1">
        <v>4</v>
      </c>
      <c r="C44" s="2"/>
      <c r="E44" s="4"/>
      <c r="F44" s="5"/>
      <c r="G44" s="4"/>
      <c r="H44" s="5"/>
      <c r="I44" s="5"/>
      <c r="J44" s="5"/>
      <c r="K44" s="5"/>
      <c r="L44" s="5"/>
      <c r="M44" s="6"/>
      <c r="N44" s="7"/>
      <c r="O44" s="5"/>
      <c r="P44" s="8"/>
      <c r="Q44" s="8"/>
    </row>
    <row r="45" spans="1:24" s="3" customFormat="1" ht="11.25" hidden="1" customHeight="1" x14ac:dyDescent="0.2">
      <c r="A45" s="1"/>
      <c r="B45" s="1">
        <v>5</v>
      </c>
      <c r="C45" s="2"/>
      <c r="E45" s="4"/>
      <c r="F45" s="5"/>
      <c r="G45" s="4"/>
      <c r="H45" s="5"/>
      <c r="I45" s="5"/>
      <c r="J45" s="5"/>
      <c r="K45" s="5"/>
      <c r="L45" s="5"/>
      <c r="M45" s="6"/>
      <c r="N45" s="7"/>
      <c r="O45" s="5"/>
      <c r="P45" s="8"/>
      <c r="Q45" s="8"/>
    </row>
    <row r="46" spans="1:24" s="3" customFormat="1" ht="11.25" hidden="1" customHeight="1" x14ac:dyDescent="0.2">
      <c r="A46" s="1"/>
      <c r="B46" s="1">
        <v>6</v>
      </c>
      <c r="C46" s="2"/>
      <c r="E46" s="4"/>
      <c r="F46" s="5"/>
      <c r="G46" s="4"/>
      <c r="H46" s="5"/>
      <c r="I46" s="5"/>
      <c r="J46" s="5"/>
      <c r="K46" s="5"/>
      <c r="L46" s="5"/>
      <c r="M46" s="6"/>
      <c r="N46" s="7"/>
      <c r="O46" s="5"/>
      <c r="P46" s="8"/>
      <c r="Q46" s="8"/>
    </row>
    <row r="47" spans="1:24" s="3" customFormat="1" ht="11.25" hidden="1" customHeight="1" x14ac:dyDescent="0.2">
      <c r="A47" s="1"/>
      <c r="B47" s="1">
        <v>7</v>
      </c>
      <c r="C47" s="2"/>
      <c r="E47" s="4"/>
      <c r="F47" s="5"/>
      <c r="G47" s="4"/>
      <c r="H47" s="5"/>
      <c r="I47" s="5"/>
      <c r="J47" s="5"/>
      <c r="K47" s="5"/>
      <c r="L47" s="5"/>
      <c r="M47" s="6"/>
      <c r="N47" s="7"/>
      <c r="O47" s="5"/>
      <c r="P47" s="8"/>
      <c r="Q47" s="8"/>
    </row>
    <row r="48" spans="1:24" s="3" customFormat="1" ht="11.25" hidden="1" customHeight="1" x14ac:dyDescent="0.2">
      <c r="A48" s="1"/>
      <c r="B48" s="1">
        <v>8</v>
      </c>
      <c r="C48" s="2"/>
      <c r="E48" s="4"/>
      <c r="F48" s="5"/>
      <c r="G48" s="4"/>
      <c r="H48" s="5"/>
      <c r="I48" s="5"/>
      <c r="J48" s="5"/>
      <c r="K48" s="5"/>
      <c r="L48" s="5"/>
      <c r="M48" s="6"/>
      <c r="N48" s="7"/>
      <c r="O48" s="5"/>
      <c r="P48" s="8"/>
      <c r="Q48" s="8"/>
    </row>
    <row r="49" spans="1:22" s="3" customFormat="1" ht="11.25" hidden="1" customHeight="1" x14ac:dyDescent="0.2">
      <c r="A49" s="1"/>
      <c r="B49" s="1">
        <v>9</v>
      </c>
      <c r="C49" s="2"/>
      <c r="E49" s="4"/>
      <c r="F49" s="5"/>
      <c r="G49" s="4"/>
      <c r="H49" s="5"/>
      <c r="I49" s="5"/>
      <c r="J49" s="5"/>
      <c r="K49" s="5"/>
      <c r="L49" s="5"/>
      <c r="M49" s="6"/>
      <c r="N49" s="7"/>
      <c r="O49" s="5"/>
      <c r="P49" s="8"/>
      <c r="Q49" s="8"/>
    </row>
    <row r="50" spans="1:22" s="3" customFormat="1" ht="11.25" hidden="1" customHeight="1" x14ac:dyDescent="0.2">
      <c r="A50" s="1"/>
      <c r="B50" s="1">
        <f>C50/9</f>
        <v>0.66666666666666663</v>
      </c>
      <c r="C50" s="2">
        <f>B49-B43</f>
        <v>6</v>
      </c>
      <c r="E50" s="4"/>
      <c r="F50" s="5"/>
      <c r="G50" s="4"/>
      <c r="H50" s="5"/>
      <c r="I50" s="5"/>
      <c r="J50" s="5"/>
      <c r="K50" s="5"/>
      <c r="L50" s="5"/>
      <c r="M50" s="6"/>
      <c r="N50" s="7"/>
      <c r="O50" s="5"/>
      <c r="P50" s="8"/>
      <c r="Q50" s="8"/>
    </row>
    <row r="51" spans="1:22" s="3" customFormat="1" ht="11.25" hidden="1" customHeight="1" x14ac:dyDescent="0.2">
      <c r="A51" s="1"/>
      <c r="B51" s="1">
        <v>10</v>
      </c>
      <c r="C51" s="2"/>
      <c r="E51" s="4"/>
      <c r="F51" s="5"/>
      <c r="G51" s="4"/>
      <c r="H51" s="5"/>
      <c r="I51" s="5"/>
      <c r="J51" s="5"/>
      <c r="K51" s="5"/>
      <c r="L51" s="5"/>
      <c r="M51" s="6"/>
      <c r="N51" s="7"/>
      <c r="O51" s="5"/>
      <c r="P51" s="8"/>
      <c r="Q51" s="8"/>
    </row>
    <row r="52" spans="1:22" s="3" customFormat="1" ht="11.25" hidden="1" customHeight="1" x14ac:dyDescent="0.2">
      <c r="A52" s="1"/>
      <c r="B52" s="1">
        <v>11</v>
      </c>
      <c r="C52" s="2"/>
      <c r="E52" s="4"/>
      <c r="F52" s="5"/>
      <c r="G52" s="4"/>
      <c r="H52" s="5"/>
      <c r="I52" s="5"/>
      <c r="J52" s="5"/>
      <c r="K52" s="5"/>
      <c r="L52" s="5"/>
      <c r="M52" s="6"/>
      <c r="N52" s="7"/>
      <c r="O52" s="5"/>
      <c r="P52" s="8"/>
      <c r="Q52" s="8"/>
    </row>
    <row r="53" spans="1:22" s="3" customFormat="1" ht="11.25" hidden="1" customHeight="1" x14ac:dyDescent="0.2">
      <c r="A53" s="1"/>
      <c r="B53" s="1">
        <v>12</v>
      </c>
      <c r="C53" s="2"/>
      <c r="E53" s="4"/>
      <c r="F53" s="5"/>
      <c r="G53" s="4"/>
      <c r="H53" s="5"/>
      <c r="I53" s="5"/>
      <c r="J53" s="5"/>
      <c r="K53" s="5"/>
      <c r="L53" s="5"/>
      <c r="M53" s="6"/>
      <c r="N53" s="7"/>
      <c r="O53" s="5"/>
      <c r="P53" s="8"/>
      <c r="Q53" s="8"/>
    </row>
    <row r="54" spans="1:22" s="3" customFormat="1" x14ac:dyDescent="0.2">
      <c r="A54" s="1"/>
      <c r="B54" s="818" t="s">
        <v>114</v>
      </c>
      <c r="C54" s="818"/>
      <c r="D54" s="818"/>
      <c r="E54" s="818"/>
      <c r="F54" s="818"/>
      <c r="G54" s="818"/>
      <c r="H54" s="818"/>
      <c r="I54" s="818"/>
      <c r="J54" s="818"/>
      <c r="K54" s="19"/>
      <c r="L54" s="5"/>
      <c r="M54" s="5"/>
      <c r="N54" s="5"/>
      <c r="O54" s="5"/>
      <c r="P54" s="5"/>
      <c r="Q54" s="5"/>
    </row>
    <row r="55" spans="1:22" s="3" customFormat="1" x14ac:dyDescent="0.2">
      <c r="A55" s="1"/>
      <c r="B55" s="1"/>
      <c r="C55" s="2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22" s="3" customFormat="1" ht="12" thickBot="1" x14ac:dyDescent="0.25">
      <c r="A56" s="1"/>
      <c r="B56" s="1"/>
      <c r="C56" s="2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22" s="3" customFormat="1" ht="21.75" customHeight="1" thickBot="1" x14ac:dyDescent="0.25">
      <c r="A57" s="361" t="s">
        <v>115</v>
      </c>
      <c r="B57" s="362" t="s">
        <v>116</v>
      </c>
      <c r="C57" s="363"/>
      <c r="D57" s="364"/>
      <c r="E57" s="819" t="s">
        <v>117</v>
      </c>
      <c r="F57" s="820"/>
      <c r="G57" s="819" t="s">
        <v>118</v>
      </c>
      <c r="H57" s="820"/>
      <c r="I57" s="821" t="s">
        <v>119</v>
      </c>
      <c r="J57" s="820"/>
      <c r="K57" s="365">
        <v>2021</v>
      </c>
      <c r="L57" s="366" t="s">
        <v>120</v>
      </c>
      <c r="M57" s="5"/>
      <c r="N57" s="5"/>
      <c r="O57" s="5"/>
      <c r="P57" s="5"/>
      <c r="Q57" s="5"/>
      <c r="S57" s="3" t="s">
        <v>121</v>
      </c>
    </row>
    <row r="58" spans="1:22" s="3" customFormat="1" ht="15" customHeight="1" x14ac:dyDescent="0.2">
      <c r="A58" s="367"/>
      <c r="B58" s="368" t="s">
        <v>122</v>
      </c>
      <c r="C58" s="369"/>
      <c r="D58" s="137"/>
      <c r="E58" s="822">
        <v>213903.28</v>
      </c>
      <c r="F58" s="823"/>
      <c r="G58" s="822">
        <v>150522.32</v>
      </c>
      <c r="H58" s="823"/>
      <c r="I58" s="822">
        <v>0</v>
      </c>
      <c r="J58" s="823"/>
      <c r="K58" s="370">
        <v>14033.78</v>
      </c>
      <c r="L58" s="371">
        <v>0</v>
      </c>
      <c r="O58" s="5"/>
      <c r="P58" s="5"/>
      <c r="Q58" s="5"/>
      <c r="S58" s="372" t="s">
        <v>123</v>
      </c>
      <c r="T58" s="372" t="s">
        <v>124</v>
      </c>
      <c r="U58" s="372" t="s">
        <v>125</v>
      </c>
    </row>
    <row r="59" spans="1:22" s="3" customFormat="1" ht="15" customHeight="1" x14ac:dyDescent="0.2">
      <c r="A59" s="56"/>
      <c r="B59" s="296" t="s">
        <v>126</v>
      </c>
      <c r="C59" s="373"/>
      <c r="D59" s="59"/>
      <c r="E59" s="814">
        <v>10750</v>
      </c>
      <c r="F59" s="815"/>
      <c r="G59" s="814">
        <v>27580</v>
      </c>
      <c r="H59" s="815"/>
      <c r="I59" s="814">
        <v>12590</v>
      </c>
      <c r="J59" s="815"/>
      <c r="K59" s="375">
        <v>5950</v>
      </c>
      <c r="L59" s="371">
        <f>K59/I59*100</f>
        <v>47.25972994440032</v>
      </c>
      <c r="O59" s="5"/>
      <c r="P59" s="5"/>
      <c r="Q59" s="5"/>
      <c r="S59" s="3">
        <f>T59+U59</f>
        <v>7252510.3800000008</v>
      </c>
      <c r="T59" s="3">
        <v>4132769.24</v>
      </c>
      <c r="U59" s="3">
        <v>3119741.14</v>
      </c>
      <c r="V59" s="3" t="s">
        <v>127</v>
      </c>
    </row>
    <row r="60" spans="1:22" s="3" customFormat="1" ht="15" customHeight="1" x14ac:dyDescent="0.2">
      <c r="A60" s="56"/>
      <c r="B60" s="296" t="s">
        <v>128</v>
      </c>
      <c r="C60" s="373"/>
      <c r="D60" s="59"/>
      <c r="E60" s="814">
        <v>6301.9</v>
      </c>
      <c r="F60" s="815"/>
      <c r="G60" s="814">
        <v>4097.8999999999996</v>
      </c>
      <c r="H60" s="815"/>
      <c r="I60" s="814">
        <v>0</v>
      </c>
      <c r="J60" s="815"/>
      <c r="K60" s="375">
        <v>53241.99</v>
      </c>
      <c r="L60" s="371">
        <v>0</v>
      </c>
      <c r="O60" s="5"/>
      <c r="P60" s="5"/>
      <c r="Q60" s="5"/>
      <c r="S60" s="3">
        <f>T60+U60</f>
        <v>229527.75</v>
      </c>
      <c r="T60" s="3">
        <v>78703.839999999997</v>
      </c>
      <c r="U60" s="3">
        <v>150823.91</v>
      </c>
      <c r="V60" s="3" t="s">
        <v>129</v>
      </c>
    </row>
    <row r="61" spans="1:22" s="3" customFormat="1" ht="15" customHeight="1" x14ac:dyDescent="0.2">
      <c r="A61" s="56"/>
      <c r="B61" s="296" t="s">
        <v>130</v>
      </c>
      <c r="C61" s="373"/>
      <c r="D61" s="59"/>
      <c r="E61" s="814">
        <v>52351.98</v>
      </c>
      <c r="F61" s="815"/>
      <c r="G61" s="814">
        <v>9600.5</v>
      </c>
      <c r="H61" s="815"/>
      <c r="I61" s="814">
        <v>8500</v>
      </c>
      <c r="J61" s="815"/>
      <c r="K61" s="375">
        <v>0</v>
      </c>
      <c r="L61" s="371">
        <f t="shared" ref="L61:L62" si="18">K61/I61*100</f>
        <v>0</v>
      </c>
      <c r="O61" s="5"/>
      <c r="P61" s="5"/>
      <c r="Q61" s="5"/>
      <c r="S61" s="3">
        <f>T61+U61</f>
        <v>105429.91</v>
      </c>
      <c r="T61" s="3">
        <v>105429.91</v>
      </c>
      <c r="U61" s="3">
        <v>0</v>
      </c>
      <c r="V61" s="3" t="s">
        <v>131</v>
      </c>
    </row>
    <row r="62" spans="1:22" s="3" customFormat="1" ht="15" customHeight="1" x14ac:dyDescent="0.2">
      <c r="A62" s="56"/>
      <c r="B62" s="306" t="s">
        <v>132</v>
      </c>
      <c r="C62" s="376"/>
      <c r="D62" s="59"/>
      <c r="E62" s="816">
        <f>SUM(E58:F61)</f>
        <v>283307.15999999997</v>
      </c>
      <c r="F62" s="817"/>
      <c r="G62" s="816">
        <f>SUM(G58:H61)</f>
        <v>191800.72</v>
      </c>
      <c r="H62" s="817"/>
      <c r="I62" s="816">
        <f>SUM(I58:J61)</f>
        <v>21090</v>
      </c>
      <c r="J62" s="817"/>
      <c r="K62" s="378">
        <f>SUM(K58:K61)</f>
        <v>73225.76999999999</v>
      </c>
      <c r="L62" s="379">
        <f t="shared" si="18"/>
        <v>347.2061166429587</v>
      </c>
      <c r="O62" s="5"/>
      <c r="P62" s="5"/>
      <c r="Q62" s="5"/>
    </row>
    <row r="63" spans="1:22" s="3" customFormat="1" ht="15" customHeight="1" x14ac:dyDescent="0.2">
      <c r="A63" s="56"/>
      <c r="B63" s="296" t="s">
        <v>133</v>
      </c>
      <c r="C63" s="373"/>
      <c r="D63" s="59"/>
      <c r="E63" s="814">
        <v>7862355.5599999996</v>
      </c>
      <c r="F63" s="815"/>
      <c r="G63" s="814">
        <v>8067134.7000000002</v>
      </c>
      <c r="H63" s="815"/>
      <c r="I63" s="814">
        <v>7887937.8499999996</v>
      </c>
      <c r="J63" s="815"/>
      <c r="K63" s="375">
        <v>7609536.5</v>
      </c>
      <c r="L63" s="380">
        <f>K63/I63*100</f>
        <v>96.470543311899959</v>
      </c>
      <c r="O63" s="5"/>
      <c r="P63" s="5"/>
      <c r="Q63" s="5"/>
      <c r="R63" s="3" t="s">
        <v>134</v>
      </c>
      <c r="S63" s="3">
        <v>73225.77</v>
      </c>
    </row>
    <row r="64" spans="1:22" s="3" customFormat="1" ht="15" customHeight="1" x14ac:dyDescent="0.2">
      <c r="A64" s="248"/>
      <c r="B64" s="381" t="s">
        <v>135</v>
      </c>
      <c r="C64" s="382"/>
      <c r="D64" s="95"/>
      <c r="E64" s="806">
        <v>1160763.75</v>
      </c>
      <c r="F64" s="807"/>
      <c r="G64" s="806">
        <v>0</v>
      </c>
      <c r="H64" s="807"/>
      <c r="I64" s="806">
        <v>0</v>
      </c>
      <c r="J64" s="807"/>
      <c r="K64" s="383">
        <v>0</v>
      </c>
      <c r="L64" s="380">
        <v>0</v>
      </c>
      <c r="O64" s="5"/>
      <c r="P64" s="5"/>
      <c r="Q64" s="5"/>
      <c r="R64" s="3" t="s">
        <v>136</v>
      </c>
      <c r="S64" s="3">
        <f>T64+U64</f>
        <v>7587468.040000001</v>
      </c>
      <c r="T64" s="3">
        <f>SUM(T59:T63)</f>
        <v>4316902.99</v>
      </c>
      <c r="U64" s="3">
        <f>SUM(U59:U63)</f>
        <v>3270565.0500000003</v>
      </c>
    </row>
    <row r="65" spans="1:19" s="3" customFormat="1" ht="15" customHeight="1" thickBot="1" x14ac:dyDescent="0.25">
      <c r="A65" s="248"/>
      <c r="B65" s="381" t="s">
        <v>137</v>
      </c>
      <c r="C65" s="384"/>
      <c r="D65" s="95"/>
      <c r="E65" s="810">
        <v>0</v>
      </c>
      <c r="F65" s="811"/>
      <c r="G65" s="810">
        <v>0</v>
      </c>
      <c r="H65" s="811"/>
      <c r="I65" s="810">
        <v>0</v>
      </c>
      <c r="J65" s="811"/>
      <c r="K65" s="385">
        <v>0</v>
      </c>
      <c r="L65" s="386">
        <v>0</v>
      </c>
      <c r="O65" s="5"/>
      <c r="P65" s="5"/>
      <c r="Q65" s="5"/>
      <c r="R65" s="3" t="s">
        <v>138</v>
      </c>
      <c r="S65" s="3">
        <f>S63+S64</f>
        <v>7660693.8100000005</v>
      </c>
    </row>
    <row r="66" spans="1:19" s="3" customFormat="1" ht="15" customHeight="1" thickBot="1" x14ac:dyDescent="0.25">
      <c r="A66" s="387" t="s">
        <v>139</v>
      </c>
      <c r="B66" s="388" t="s">
        <v>140</v>
      </c>
      <c r="C66" s="389"/>
      <c r="D66" s="364"/>
      <c r="E66" s="812">
        <f>SUM(E62:F65)</f>
        <v>9306426.4699999988</v>
      </c>
      <c r="F66" s="813"/>
      <c r="G66" s="812">
        <f>SUM(G62:H65)</f>
        <v>8258935.4199999999</v>
      </c>
      <c r="H66" s="813"/>
      <c r="I66" s="812">
        <f>I62+I63+I64+I65</f>
        <v>7909027.8499999996</v>
      </c>
      <c r="J66" s="813"/>
      <c r="K66" s="390">
        <f>K62+K63+K64+K65</f>
        <v>7682762.2699999996</v>
      </c>
      <c r="L66" s="391">
        <f t="shared" ref="L66:L72" si="19">K66/I66*100</f>
        <v>97.139148018046242</v>
      </c>
      <c r="O66" s="5"/>
      <c r="P66" s="5"/>
      <c r="Q66" s="5"/>
    </row>
    <row r="67" spans="1:19" s="3" customFormat="1" ht="15" customHeight="1" x14ac:dyDescent="0.2">
      <c r="A67" s="367"/>
      <c r="B67" s="368" t="s">
        <v>141</v>
      </c>
      <c r="C67" s="392"/>
      <c r="D67" s="137"/>
      <c r="E67" s="804">
        <f>'[1]31.12.2020. PRERASPODJELA'!E48</f>
        <v>7825673.6200000001</v>
      </c>
      <c r="F67" s="805"/>
      <c r="G67" s="804">
        <f>'[1]31.12.2020. prije preraspodjele'!F48+'[1]31.12.2020. prije preraspodjele'!F56</f>
        <v>7961798.6800000006</v>
      </c>
      <c r="H67" s="805"/>
      <c r="I67" s="804">
        <f>'[1]31.12.2020. prije preraspodjele'!R48+'[1]31.12.2020. prije preraspodjele'!R56+'[1]31.12.2020. prije preraspodjele'!R53</f>
        <v>7249487.7000000002</v>
      </c>
      <c r="J67" s="805"/>
      <c r="K67" s="370">
        <v>7322488.7199999997</v>
      </c>
      <c r="L67" s="371">
        <f t="shared" si="19"/>
        <v>101.00698177610536</v>
      </c>
      <c r="O67" s="5"/>
      <c r="P67" s="5"/>
      <c r="Q67" s="5"/>
    </row>
    <row r="68" spans="1:19" s="3" customFormat="1" ht="15" customHeight="1" thickBot="1" x14ac:dyDescent="0.25">
      <c r="A68" s="248"/>
      <c r="B68" s="381" t="s">
        <v>142</v>
      </c>
      <c r="C68" s="384"/>
      <c r="D68" s="95"/>
      <c r="E68" s="808">
        <f>'[1]31.12.2020. prije preraspodjele'!E58</f>
        <v>1497761.98</v>
      </c>
      <c r="F68" s="809"/>
      <c r="G68" s="808">
        <f>'[1]31.12.2020. prije preraspodjele'!F58-'[1]31.12.2020. prije preraspodjele'!F56</f>
        <v>304229</v>
      </c>
      <c r="H68" s="809"/>
      <c r="I68" s="808">
        <f>'[1]31.12.2020. prije preraspodjele'!R58-'[1]31.12.2020. prije preraspodjele'!R56-'[1]31.12.2020. prije preraspodjele'!R53</f>
        <v>646179.67999999993</v>
      </c>
      <c r="J68" s="809"/>
      <c r="K68" s="393">
        <v>356703.26</v>
      </c>
      <c r="L68" s="386">
        <f t="shared" si="19"/>
        <v>55.201868929087958</v>
      </c>
      <c r="O68" s="5"/>
      <c r="P68" s="5"/>
      <c r="Q68" s="5"/>
    </row>
    <row r="69" spans="1:19" s="3" customFormat="1" ht="15" customHeight="1" thickBot="1" x14ac:dyDescent="0.25">
      <c r="A69" s="394" t="s">
        <v>143</v>
      </c>
      <c r="B69" s="395" t="s">
        <v>144</v>
      </c>
      <c r="C69" s="396"/>
      <c r="D69" s="364"/>
      <c r="E69" s="798">
        <f>E68+E67</f>
        <v>9323435.5999999996</v>
      </c>
      <c r="F69" s="799"/>
      <c r="G69" s="798">
        <f>G68+G67</f>
        <v>8266027.6800000006</v>
      </c>
      <c r="H69" s="799"/>
      <c r="I69" s="798">
        <f>I68+I67</f>
        <v>7895667.3799999999</v>
      </c>
      <c r="J69" s="799"/>
      <c r="K69" s="398">
        <f>K67+K68</f>
        <v>7679191.9799999995</v>
      </c>
      <c r="L69" s="399">
        <f t="shared" si="19"/>
        <v>97.258301425559793</v>
      </c>
      <c r="O69" s="5"/>
      <c r="P69" s="5"/>
      <c r="Q69" s="5"/>
    </row>
    <row r="70" spans="1:19" s="3" customFormat="1" ht="15" customHeight="1" thickBot="1" x14ac:dyDescent="0.25">
      <c r="A70" s="400" t="s">
        <v>145</v>
      </c>
      <c r="B70" s="401" t="s">
        <v>146</v>
      </c>
      <c r="C70" s="402"/>
      <c r="D70" s="364"/>
      <c r="E70" s="800">
        <f>E66-E69</f>
        <v>-17009.13000000082</v>
      </c>
      <c r="F70" s="801"/>
      <c r="G70" s="800">
        <f>G66-G69</f>
        <v>-7092.2600000007078</v>
      </c>
      <c r="H70" s="801"/>
      <c r="I70" s="802">
        <f>I66-I69</f>
        <v>13360.469999999739</v>
      </c>
      <c r="J70" s="803"/>
      <c r="K70" s="404">
        <f>K66-K69</f>
        <v>3570.2900000000373</v>
      </c>
      <c r="L70" s="405">
        <f t="shared" si="19"/>
        <v>26.722787446849601</v>
      </c>
      <c r="O70" s="5"/>
      <c r="P70" s="5"/>
      <c r="Q70" s="5"/>
    </row>
    <row r="71" spans="1:19" s="3" customFormat="1" ht="15" customHeight="1" thickBot="1" x14ac:dyDescent="0.25">
      <c r="A71" s="406" t="s">
        <v>147</v>
      </c>
      <c r="B71" s="407" t="s">
        <v>148</v>
      </c>
      <c r="C71" s="408"/>
      <c r="D71" s="364"/>
      <c r="E71" s="796">
        <v>-11327.54</v>
      </c>
      <c r="F71" s="796"/>
      <c r="G71" s="796">
        <f>E72</f>
        <v>-28336.67000000082</v>
      </c>
      <c r="H71" s="796"/>
      <c r="I71" s="796">
        <f>G72</f>
        <v>-35428.930000001528</v>
      </c>
      <c r="J71" s="796"/>
      <c r="K71" s="403">
        <v>-22068.46</v>
      </c>
      <c r="L71" s="405">
        <f t="shared" si="19"/>
        <v>62.289377635731725</v>
      </c>
      <c r="O71" s="5"/>
      <c r="P71" s="5"/>
      <c r="Q71" s="5"/>
    </row>
    <row r="72" spans="1:19" s="3" customFormat="1" ht="15" customHeight="1" thickBot="1" x14ac:dyDescent="0.25">
      <c r="A72" s="409"/>
      <c r="B72" s="410" t="s">
        <v>149</v>
      </c>
      <c r="C72" s="411"/>
      <c r="D72" s="364"/>
      <c r="E72" s="797">
        <f>E70+E71</f>
        <v>-28336.67000000082</v>
      </c>
      <c r="F72" s="797"/>
      <c r="G72" s="797">
        <f>G70+G71</f>
        <v>-35428.930000001528</v>
      </c>
      <c r="H72" s="797"/>
      <c r="I72" s="797">
        <f>I70+I71</f>
        <v>-22068.460000001789</v>
      </c>
      <c r="J72" s="797"/>
      <c r="K72" s="397">
        <f>K70+K71</f>
        <v>-18498.169999999962</v>
      </c>
      <c r="L72" s="399">
        <f t="shared" si="19"/>
        <v>83.82175285451936</v>
      </c>
      <c r="O72" s="5"/>
      <c r="P72" s="5"/>
      <c r="Q72" s="5"/>
    </row>
    <row r="73" spans="1:19" s="3" customFormat="1" ht="15" customHeight="1" x14ac:dyDescent="0.2">
      <c r="A73" s="793"/>
      <c r="B73" s="794"/>
      <c r="C73" s="794"/>
      <c r="D73" s="794"/>
      <c r="E73" s="794"/>
      <c r="F73" s="794"/>
      <c r="G73" s="794"/>
      <c r="H73" s="794"/>
      <c r="I73" s="794"/>
      <c r="J73" s="794"/>
      <c r="K73" s="794"/>
      <c r="L73" s="795"/>
      <c r="O73" s="5"/>
      <c r="P73" s="5"/>
      <c r="Q73" s="5"/>
    </row>
    <row r="74" spans="1:19" s="3" customFormat="1" ht="15" customHeight="1" x14ac:dyDescent="0.2">
      <c r="A74" s="412"/>
      <c r="B74" s="781" t="s">
        <v>150</v>
      </c>
      <c r="C74" s="782"/>
      <c r="D74" s="783"/>
      <c r="E74" s="784">
        <v>0</v>
      </c>
      <c r="F74" s="784"/>
      <c r="G74" s="784">
        <v>0</v>
      </c>
      <c r="H74" s="784"/>
      <c r="I74" s="784">
        <v>0</v>
      </c>
      <c r="J74" s="784"/>
      <c r="K74" s="374">
        <v>0</v>
      </c>
      <c r="L74" s="413">
        <v>0</v>
      </c>
      <c r="N74" s="5"/>
      <c r="O74" s="5"/>
      <c r="P74" s="5"/>
      <c r="Q74" s="5"/>
    </row>
    <row r="75" spans="1:19" s="3" customFormat="1" ht="15" customHeight="1" x14ac:dyDescent="0.2">
      <c r="A75" s="412"/>
      <c r="B75" s="781" t="s">
        <v>151</v>
      </c>
      <c r="C75" s="782"/>
      <c r="D75" s="783"/>
      <c r="E75" s="784">
        <v>0</v>
      </c>
      <c r="F75" s="784"/>
      <c r="G75" s="784">
        <v>0</v>
      </c>
      <c r="H75" s="784"/>
      <c r="I75" s="784">
        <v>0</v>
      </c>
      <c r="J75" s="784"/>
      <c r="K75" s="374">
        <v>0</v>
      </c>
      <c r="L75" s="413">
        <v>0</v>
      </c>
      <c r="N75" s="5"/>
      <c r="O75" s="5"/>
      <c r="P75" s="5"/>
      <c r="Q75" s="5"/>
    </row>
    <row r="76" spans="1:19" s="3" customFormat="1" ht="15" customHeight="1" x14ac:dyDescent="0.2">
      <c r="A76" s="412"/>
      <c r="B76" s="781" t="s">
        <v>152</v>
      </c>
      <c r="C76" s="782"/>
      <c r="D76" s="783"/>
      <c r="E76" s="784">
        <v>4257.28</v>
      </c>
      <c r="F76" s="784"/>
      <c r="G76" s="784">
        <v>7547</v>
      </c>
      <c r="H76" s="784"/>
      <c r="I76" s="784">
        <v>16247.93</v>
      </c>
      <c r="J76" s="784"/>
      <c r="K76" s="374">
        <v>9377.99</v>
      </c>
      <c r="L76" s="413">
        <f>K76/I76*100</f>
        <v>57.718060085192391</v>
      </c>
      <c r="N76" s="5"/>
      <c r="O76" s="5"/>
      <c r="P76" s="5"/>
      <c r="Q76" s="5"/>
    </row>
    <row r="77" spans="1:19" s="3" customFormat="1" ht="15" customHeight="1" x14ac:dyDescent="0.2">
      <c r="A77" s="412"/>
      <c r="B77" s="781" t="s">
        <v>153</v>
      </c>
      <c r="C77" s="782"/>
      <c r="D77" s="783"/>
      <c r="E77" s="784">
        <v>24692.37</v>
      </c>
      <c r="F77" s="784"/>
      <c r="G77" s="784">
        <v>37080.589999999997</v>
      </c>
      <c r="H77" s="784"/>
      <c r="I77" s="784">
        <v>89019.07</v>
      </c>
      <c r="J77" s="784"/>
      <c r="K77" s="374">
        <v>211366.15</v>
      </c>
      <c r="L77" s="413">
        <f t="shared" ref="L77:L82" si="20">K77/I77*100</f>
        <v>237.43918016667661</v>
      </c>
      <c r="N77" s="5"/>
      <c r="O77" s="5"/>
      <c r="P77" s="5"/>
      <c r="Q77" s="5"/>
    </row>
    <row r="78" spans="1:19" s="3" customFormat="1" ht="15" customHeight="1" x14ac:dyDescent="0.2">
      <c r="A78" s="412"/>
      <c r="B78" s="789" t="s">
        <v>154</v>
      </c>
      <c r="C78" s="790"/>
      <c r="D78" s="791"/>
      <c r="E78" s="792">
        <f>SUM(E74:F77)</f>
        <v>28949.649999999998</v>
      </c>
      <c r="F78" s="792"/>
      <c r="G78" s="792">
        <f>SUM(G74:H77)</f>
        <v>44627.59</v>
      </c>
      <c r="H78" s="792"/>
      <c r="I78" s="792">
        <f>SUM(I74:J77)</f>
        <v>105267</v>
      </c>
      <c r="J78" s="792"/>
      <c r="K78" s="377">
        <f>K74+K75+K76+K77</f>
        <v>220744.13999999998</v>
      </c>
      <c r="L78" s="413">
        <f t="shared" si="20"/>
        <v>209.69927897631737</v>
      </c>
      <c r="N78" s="5"/>
      <c r="O78" s="5"/>
      <c r="P78" s="5"/>
      <c r="Q78" s="5"/>
    </row>
    <row r="79" spans="1:19" s="3" customFormat="1" ht="15" customHeight="1" x14ac:dyDescent="0.2">
      <c r="A79" s="412"/>
      <c r="B79" s="781" t="s">
        <v>155</v>
      </c>
      <c r="C79" s="782"/>
      <c r="D79" s="783"/>
      <c r="E79" s="784">
        <v>722105.36</v>
      </c>
      <c r="F79" s="784"/>
      <c r="G79" s="784">
        <v>698904.62</v>
      </c>
      <c r="H79" s="784"/>
      <c r="I79" s="784">
        <v>694765.51</v>
      </c>
      <c r="J79" s="784"/>
      <c r="K79" s="374">
        <v>798804.98</v>
      </c>
      <c r="L79" s="413">
        <f t="shared" si="20"/>
        <v>114.97476033316623</v>
      </c>
      <c r="N79" s="5"/>
      <c r="O79" s="5"/>
      <c r="P79" s="5"/>
      <c r="Q79" s="5"/>
    </row>
    <row r="80" spans="1:19" s="3" customFormat="1" ht="15" customHeight="1" x14ac:dyDescent="0.2">
      <c r="A80" s="412"/>
      <c r="B80" s="781" t="s">
        <v>156</v>
      </c>
      <c r="C80" s="782"/>
      <c r="D80" s="783"/>
      <c r="E80" s="784">
        <v>664819.04</v>
      </c>
      <c r="F80" s="784"/>
      <c r="G80" s="784">
        <v>618848.1</v>
      </c>
      <c r="H80" s="784"/>
      <c r="I80" s="784">
        <v>567430.05000000005</v>
      </c>
      <c r="J80" s="784"/>
      <c r="K80" s="374">
        <v>559562.67000000004</v>
      </c>
      <c r="L80" s="413">
        <f t="shared" si="20"/>
        <v>98.613506633989516</v>
      </c>
      <c r="N80" s="5"/>
      <c r="O80" s="5"/>
      <c r="P80" s="5"/>
      <c r="Q80" s="5"/>
    </row>
    <row r="81" spans="1:24" s="3" customFormat="1" ht="15" customHeight="1" thickBot="1" x14ac:dyDescent="0.25">
      <c r="A81" s="414"/>
      <c r="B81" s="785" t="s">
        <v>157</v>
      </c>
      <c r="C81" s="786"/>
      <c r="D81" s="787"/>
      <c r="E81" s="788">
        <f>E79-E80</f>
        <v>57286.319999999949</v>
      </c>
      <c r="F81" s="788"/>
      <c r="G81" s="788">
        <f>G79-G80</f>
        <v>80056.520000000019</v>
      </c>
      <c r="H81" s="788"/>
      <c r="I81" s="788">
        <f>I79-I80</f>
        <v>127335.45999999996</v>
      </c>
      <c r="J81" s="788"/>
      <c r="K81" s="415">
        <v>239242.31</v>
      </c>
      <c r="L81" s="416">
        <f t="shared" si="20"/>
        <v>187.88349294061535</v>
      </c>
      <c r="N81" s="5"/>
      <c r="O81" s="5"/>
      <c r="P81" s="5"/>
      <c r="Q81" s="5"/>
    </row>
    <row r="82" spans="1:24" s="3" customFormat="1" ht="15" customHeight="1" thickBot="1" x14ac:dyDescent="0.25">
      <c r="A82" s="417"/>
      <c r="B82" s="777" t="s">
        <v>158</v>
      </c>
      <c r="C82" s="778"/>
      <c r="D82" s="779"/>
      <c r="E82" s="780">
        <f>E78-E81</f>
        <v>-28336.669999999951</v>
      </c>
      <c r="F82" s="780"/>
      <c r="G82" s="780">
        <f>G78-G81</f>
        <v>-35428.930000000022</v>
      </c>
      <c r="H82" s="780"/>
      <c r="I82" s="780">
        <f>I78-I81</f>
        <v>-22068.459999999963</v>
      </c>
      <c r="J82" s="780"/>
      <c r="K82" s="418">
        <f>K78-K81</f>
        <v>-18498.170000000013</v>
      </c>
      <c r="L82" s="360">
        <f t="shared" si="20"/>
        <v>83.821752854526522</v>
      </c>
      <c r="N82" s="5"/>
      <c r="O82" s="5"/>
      <c r="P82" s="5"/>
      <c r="Q82" s="5"/>
    </row>
    <row r="83" spans="1:24" s="3" customFormat="1" ht="15" customHeight="1" x14ac:dyDescent="0.2">
      <c r="A83" s="1"/>
      <c r="B83" s="1"/>
      <c r="C83" s="5"/>
      <c r="N83" s="5"/>
      <c r="O83" s="5"/>
      <c r="P83" s="5"/>
      <c r="Q83" s="5"/>
    </row>
    <row r="84" spans="1:24" s="3" customFormat="1" ht="15" customHeight="1" x14ac:dyDescent="0.2">
      <c r="A84" s="1"/>
      <c r="B84" s="337"/>
      <c r="C84" s="338"/>
      <c r="D84" s="339"/>
      <c r="E84" s="340"/>
      <c r="G84" s="340"/>
      <c r="M84" s="341"/>
      <c r="N84" s="7"/>
      <c r="O84" s="5"/>
      <c r="P84" s="8"/>
      <c r="Q84" s="8"/>
    </row>
    <row r="85" spans="1:24" s="3" customFormat="1" ht="15" customHeight="1" x14ac:dyDescent="0.2">
      <c r="A85" s="1"/>
      <c r="B85" s="337"/>
      <c r="C85" s="338"/>
      <c r="D85" s="339"/>
      <c r="E85" s="340"/>
      <c r="G85" s="340"/>
      <c r="M85" s="341"/>
      <c r="N85" s="7"/>
      <c r="O85" s="5"/>
      <c r="P85" s="8"/>
      <c r="Q85" s="8"/>
    </row>
    <row r="86" spans="1:24" s="3" customFormat="1" ht="15" customHeight="1" x14ac:dyDescent="0.2">
      <c r="A86" s="1"/>
      <c r="B86" s="337"/>
      <c r="C86" s="338"/>
      <c r="D86" s="339"/>
      <c r="E86" s="340"/>
      <c r="G86" s="340"/>
      <c r="M86" s="341"/>
      <c r="N86" s="7"/>
      <c r="O86" s="5"/>
      <c r="P86" s="8"/>
      <c r="Q86" s="8"/>
    </row>
    <row r="87" spans="1:24" s="3" customFormat="1" ht="15" customHeight="1" x14ac:dyDescent="0.2">
      <c r="A87" s="1"/>
      <c r="B87" s="337"/>
      <c r="C87" s="338"/>
      <c r="D87" s="339"/>
      <c r="E87" s="340"/>
      <c r="G87" s="340"/>
      <c r="M87" s="341"/>
      <c r="N87" s="7"/>
      <c r="O87" s="5"/>
      <c r="P87" s="8"/>
      <c r="Q87" s="8"/>
    </row>
    <row r="88" spans="1:24" s="7" customFormat="1" x14ac:dyDescent="0.2">
      <c r="A88" s="1"/>
      <c r="B88" s="337"/>
      <c r="C88" s="338"/>
      <c r="D88" s="339"/>
      <c r="E88" s="340"/>
      <c r="F88" s="3"/>
      <c r="G88" s="340"/>
      <c r="H88" s="3"/>
      <c r="I88" s="3"/>
      <c r="J88" s="3"/>
      <c r="K88" s="3"/>
      <c r="L88" s="3"/>
      <c r="M88" s="341"/>
      <c r="O88" s="5"/>
      <c r="P88" s="8"/>
      <c r="Q88" s="8"/>
      <c r="R88" s="3"/>
      <c r="S88" s="3"/>
      <c r="T88" s="3"/>
      <c r="U88" s="3"/>
      <c r="V88" s="3"/>
      <c r="W88" s="3"/>
      <c r="X88" s="3"/>
    </row>
    <row r="89" spans="1:24" s="7" customFormat="1" x14ac:dyDescent="0.2">
      <c r="A89" s="1"/>
      <c r="B89" s="337"/>
      <c r="C89" s="419"/>
      <c r="D89" s="339"/>
      <c r="E89" s="340"/>
      <c r="F89" s="3"/>
      <c r="G89" s="340"/>
      <c r="H89" s="3"/>
      <c r="I89" s="3"/>
      <c r="J89" s="3"/>
      <c r="K89" s="3"/>
      <c r="L89" s="3"/>
      <c r="M89" s="341"/>
      <c r="O89" s="5"/>
      <c r="P89" s="8"/>
      <c r="Q89" s="8"/>
      <c r="R89" s="3"/>
      <c r="S89" s="3"/>
      <c r="T89" s="3"/>
      <c r="U89" s="3"/>
      <c r="V89" s="3"/>
      <c r="W89" s="3"/>
      <c r="X89" s="3"/>
    </row>
    <row r="90" spans="1:24" s="7" customFormat="1" x14ac:dyDescent="0.2">
      <c r="A90" s="1"/>
      <c r="B90" s="337"/>
      <c r="C90" s="338"/>
      <c r="D90" s="339"/>
      <c r="E90" s="340"/>
      <c r="F90" s="3"/>
      <c r="G90" s="340"/>
      <c r="H90" s="3"/>
      <c r="I90" s="3"/>
      <c r="J90" s="3"/>
      <c r="K90" s="3"/>
      <c r="L90" s="3"/>
      <c r="M90" s="341"/>
      <c r="O90" s="5"/>
      <c r="P90" s="8"/>
      <c r="Q90" s="8"/>
      <c r="R90" s="3"/>
      <c r="S90" s="3"/>
      <c r="T90" s="3"/>
      <c r="U90" s="3"/>
      <c r="V90" s="3"/>
      <c r="W90" s="3"/>
      <c r="X90" s="3"/>
    </row>
    <row r="91" spans="1:24" s="7" customFormat="1" x14ac:dyDescent="0.2">
      <c r="A91" s="1"/>
      <c r="B91" s="1"/>
      <c r="C91" s="2"/>
      <c r="D91" s="3"/>
      <c r="E91" s="340"/>
      <c r="F91" s="3"/>
      <c r="G91" s="340"/>
      <c r="H91" s="3"/>
      <c r="I91" s="3"/>
      <c r="J91" s="3"/>
      <c r="K91" s="3"/>
      <c r="L91" s="3"/>
      <c r="M91" s="341"/>
      <c r="O91" s="5"/>
      <c r="P91" s="8"/>
      <c r="Q91" s="8"/>
      <c r="R91" s="3"/>
      <c r="S91" s="3"/>
      <c r="T91" s="3"/>
      <c r="U91" s="3"/>
      <c r="V91" s="3"/>
      <c r="W91" s="3"/>
      <c r="X91" s="3"/>
    </row>
    <row r="92" spans="1:24" s="7" customFormat="1" x14ac:dyDescent="0.2">
      <c r="A92" s="1"/>
      <c r="B92" s="1"/>
      <c r="C92" s="2"/>
      <c r="D92" s="3"/>
      <c r="E92" s="340"/>
      <c r="F92" s="3"/>
      <c r="G92" s="340"/>
      <c r="H92" s="3"/>
      <c r="I92" s="3"/>
      <c r="J92" s="3"/>
      <c r="K92" s="3"/>
      <c r="L92" s="3"/>
      <c r="M92" s="341"/>
      <c r="O92" s="5"/>
      <c r="P92" s="8"/>
      <c r="Q92" s="8"/>
      <c r="R92" s="3"/>
      <c r="S92" s="3"/>
      <c r="T92" s="3"/>
      <c r="U92" s="3"/>
      <c r="V92" s="3"/>
      <c r="W92" s="3"/>
      <c r="X92" s="3"/>
    </row>
    <row r="93" spans="1:24" s="7" customFormat="1" x14ac:dyDescent="0.2">
      <c r="A93" s="1"/>
      <c r="B93" s="1"/>
      <c r="C93" s="2"/>
      <c r="D93" s="3"/>
      <c r="E93" s="340"/>
      <c r="F93" s="3"/>
      <c r="G93" s="340"/>
      <c r="H93" s="3"/>
      <c r="I93" s="3"/>
      <c r="J93" s="3"/>
      <c r="K93" s="3"/>
      <c r="L93" s="3"/>
      <c r="M93" s="341"/>
      <c r="O93" s="5"/>
      <c r="P93" s="8"/>
      <c r="Q93" s="8"/>
      <c r="R93" s="3"/>
      <c r="S93" s="3"/>
      <c r="T93" s="3"/>
      <c r="U93" s="3"/>
      <c r="V93" s="3"/>
      <c r="W93" s="3"/>
      <c r="X93" s="3"/>
    </row>
    <row r="94" spans="1:24" s="7" customFormat="1" x14ac:dyDescent="0.2">
      <c r="A94" s="1"/>
      <c r="B94" s="1"/>
      <c r="C94" s="2"/>
      <c r="D94" s="3"/>
      <c r="E94" s="340"/>
      <c r="F94" s="3"/>
      <c r="G94" s="340"/>
      <c r="H94" s="3"/>
      <c r="I94" s="3"/>
      <c r="J94" s="3"/>
      <c r="K94" s="3"/>
      <c r="L94" s="3"/>
      <c r="M94" s="341"/>
      <c r="O94" s="5"/>
      <c r="P94" s="8"/>
      <c r="Q94" s="8"/>
      <c r="R94" s="3"/>
      <c r="S94" s="3"/>
      <c r="T94" s="3"/>
      <c r="U94" s="3"/>
      <c r="V94" s="3"/>
      <c r="W94" s="3"/>
      <c r="X94" s="3"/>
    </row>
    <row r="95" spans="1:24" s="7" customFormat="1" x14ac:dyDescent="0.2">
      <c r="A95" s="1"/>
      <c r="B95" s="1"/>
      <c r="C95" s="2"/>
      <c r="D95" s="3"/>
      <c r="E95" s="340"/>
      <c r="F95" s="3"/>
      <c r="G95" s="340"/>
      <c r="H95" s="3"/>
      <c r="I95" s="3"/>
      <c r="J95" s="3"/>
      <c r="K95" s="3"/>
      <c r="L95" s="3"/>
      <c r="M95" s="341"/>
      <c r="O95" s="5"/>
      <c r="P95" s="8"/>
      <c r="Q95" s="8"/>
      <c r="R95" s="3"/>
      <c r="S95" s="3"/>
      <c r="T95" s="3"/>
      <c r="U95" s="3"/>
      <c r="V95" s="3"/>
      <c r="W95" s="3"/>
      <c r="X95" s="3"/>
    </row>
  </sheetData>
  <mergeCells count="86">
    <mergeCell ref="B54:J54"/>
    <mergeCell ref="E57:F57"/>
    <mergeCell ref="G57:H57"/>
    <mergeCell ref="I57:J57"/>
    <mergeCell ref="E58:F58"/>
    <mergeCell ref="G58:H58"/>
    <mergeCell ref="I58:J58"/>
    <mergeCell ref="E59:F59"/>
    <mergeCell ref="G59:H59"/>
    <mergeCell ref="I59:J59"/>
    <mergeCell ref="E60:F60"/>
    <mergeCell ref="G60:H60"/>
    <mergeCell ref="I60:J60"/>
    <mergeCell ref="E61:F61"/>
    <mergeCell ref="G61:H61"/>
    <mergeCell ref="I61:J61"/>
    <mergeCell ref="E62:F62"/>
    <mergeCell ref="G62:H62"/>
    <mergeCell ref="I62:J62"/>
    <mergeCell ref="E63:F63"/>
    <mergeCell ref="G63:H63"/>
    <mergeCell ref="I63:J63"/>
    <mergeCell ref="E64:F64"/>
    <mergeCell ref="G64:H64"/>
    <mergeCell ref="I64:J64"/>
    <mergeCell ref="E65:F65"/>
    <mergeCell ref="G65:H65"/>
    <mergeCell ref="I65:J65"/>
    <mergeCell ref="E66:F66"/>
    <mergeCell ref="G66:H66"/>
    <mergeCell ref="I66:J66"/>
    <mergeCell ref="E67:F67"/>
    <mergeCell ref="G67:H67"/>
    <mergeCell ref="I67:J67"/>
    <mergeCell ref="E68:F68"/>
    <mergeCell ref="G68:H68"/>
    <mergeCell ref="I68:J68"/>
    <mergeCell ref="E69:F69"/>
    <mergeCell ref="G69:H69"/>
    <mergeCell ref="I69:J69"/>
    <mergeCell ref="E70:F70"/>
    <mergeCell ref="G70:H70"/>
    <mergeCell ref="I70:J70"/>
    <mergeCell ref="B75:D75"/>
    <mergeCell ref="E75:F75"/>
    <mergeCell ref="G75:H75"/>
    <mergeCell ref="I75:J75"/>
    <mergeCell ref="E71:F71"/>
    <mergeCell ref="G71:H71"/>
    <mergeCell ref="I71:J71"/>
    <mergeCell ref="E72:F72"/>
    <mergeCell ref="G72:H72"/>
    <mergeCell ref="I72:J72"/>
    <mergeCell ref="A73:L73"/>
    <mergeCell ref="B74:D74"/>
    <mergeCell ref="E74:F74"/>
    <mergeCell ref="G74:H74"/>
    <mergeCell ref="I74:J74"/>
    <mergeCell ref="B76:D76"/>
    <mergeCell ref="E76:F76"/>
    <mergeCell ref="G76:H76"/>
    <mergeCell ref="I76:J76"/>
    <mergeCell ref="B77:D77"/>
    <mergeCell ref="E77:F77"/>
    <mergeCell ref="G77:H77"/>
    <mergeCell ref="I77:J77"/>
    <mergeCell ref="B78:D78"/>
    <mergeCell ref="E78:F78"/>
    <mergeCell ref="G78:H78"/>
    <mergeCell ref="I78:J78"/>
    <mergeCell ref="B79:D79"/>
    <mergeCell ref="E79:F79"/>
    <mergeCell ref="G79:H79"/>
    <mergeCell ref="I79:J79"/>
    <mergeCell ref="B82:D82"/>
    <mergeCell ref="E82:F82"/>
    <mergeCell ref="G82:H82"/>
    <mergeCell ref="I82:J82"/>
    <mergeCell ref="B80:D80"/>
    <mergeCell ref="E80:F80"/>
    <mergeCell ref="G80:H80"/>
    <mergeCell ref="I80:J80"/>
    <mergeCell ref="B81:D81"/>
    <mergeCell ref="E81:F81"/>
    <mergeCell ref="G81:H81"/>
    <mergeCell ref="I81:J81"/>
  </mergeCells>
  <pageMargins left="0" right="0" top="0" bottom="0" header="0" footer="0"/>
  <pageSetup paperSize="9" scale="8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31.12.22. PRERASPODJELA</vt:lpstr>
      <vt:lpstr>31.12.2022.</vt:lpstr>
      <vt:lpstr>2010-2022</vt:lpstr>
      <vt:lpstr>PRIHODI I RASHODI 2022</vt:lpstr>
      <vt:lpstr>PRIHODI I RASHODI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lastPrinted>2023-02-14T11:19:42Z</cp:lastPrinted>
  <dcterms:created xsi:type="dcterms:W3CDTF">2022-02-18T07:59:14Z</dcterms:created>
  <dcterms:modified xsi:type="dcterms:W3CDTF">2023-02-14T11:19:49Z</dcterms:modified>
</cp:coreProperties>
</file>