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Nova mapa\06. IZVRŠENJA\10. izvršenje 2020\I-XII\IZVRŠENJE I-XII 2020\"/>
    </mc:Choice>
  </mc:AlternateContent>
  <xr:revisionPtr revIDLastSave="0" documentId="8_{01834F29-586E-4C43-88DC-4C39F9759DAC}" xr6:coauthVersionLast="46" xr6:coauthVersionMax="46" xr10:uidLastSave="{00000000-0000-0000-0000-000000000000}"/>
  <bookViews>
    <workbookView xWindow="-120" yWindow="-120" windowWidth="29040" windowHeight="15840" xr2:uid="{3E659ECF-0B35-49AA-AD56-1E444C4F3821}"/>
  </bookViews>
  <sheets>
    <sheet name="31.12.2020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B107" i="1"/>
  <c r="J95" i="1"/>
  <c r="K95" i="1" s="1"/>
  <c r="I95" i="1"/>
  <c r="G94" i="1"/>
  <c r="K93" i="1"/>
  <c r="I93" i="1"/>
  <c r="H93" i="1"/>
  <c r="G93" i="1"/>
  <c r="C93" i="1"/>
  <c r="K92" i="1"/>
  <c r="J92" i="1"/>
  <c r="J93" i="1" s="1"/>
  <c r="G91" i="1"/>
  <c r="C91" i="1"/>
  <c r="I90" i="1"/>
  <c r="J90" i="1" s="1"/>
  <c r="K90" i="1" s="1"/>
  <c r="H90" i="1"/>
  <c r="K89" i="1"/>
  <c r="I89" i="1"/>
  <c r="J89" i="1" s="1"/>
  <c r="H89" i="1"/>
  <c r="I88" i="1"/>
  <c r="J88" i="1" s="1"/>
  <c r="J91" i="1" s="1"/>
  <c r="H88" i="1"/>
  <c r="H94" i="1" s="1"/>
  <c r="H87" i="1"/>
  <c r="G87" i="1"/>
  <c r="C87" i="1"/>
  <c r="C94" i="1" s="1"/>
  <c r="I86" i="1"/>
  <c r="J86" i="1" s="1"/>
  <c r="I82" i="1"/>
  <c r="J82" i="1" s="1"/>
  <c r="K82" i="1" s="1"/>
  <c r="G81" i="1"/>
  <c r="I80" i="1"/>
  <c r="H80" i="1"/>
  <c r="G80" i="1"/>
  <c r="C80" i="1"/>
  <c r="J79" i="1"/>
  <c r="K79" i="1" s="1"/>
  <c r="K80" i="1" s="1"/>
  <c r="G78" i="1"/>
  <c r="C78" i="1"/>
  <c r="H77" i="1"/>
  <c r="I77" i="1" s="1"/>
  <c r="J77" i="1" s="1"/>
  <c r="K77" i="1" s="1"/>
  <c r="H76" i="1"/>
  <c r="I76" i="1" s="1"/>
  <c r="J76" i="1" s="1"/>
  <c r="K76" i="1" s="1"/>
  <c r="H75" i="1"/>
  <c r="I75" i="1" s="1"/>
  <c r="I78" i="1" s="1"/>
  <c r="H74" i="1"/>
  <c r="G74" i="1"/>
  <c r="C74" i="1"/>
  <c r="C81" i="1" s="1"/>
  <c r="J73" i="1"/>
  <c r="K73" i="1" s="1"/>
  <c r="I73" i="1"/>
  <c r="I81" i="1" s="1"/>
  <c r="C62" i="1"/>
  <c r="T58" i="1"/>
  <c r="R58" i="1"/>
  <c r="Q58" i="1"/>
  <c r="P58" i="1"/>
  <c r="O58" i="1"/>
  <c r="N58" i="1"/>
  <c r="M58" i="1"/>
  <c r="G58" i="1"/>
  <c r="F58" i="1"/>
  <c r="E58" i="1"/>
  <c r="D58" i="1"/>
  <c r="C58" i="1"/>
  <c r="U57" i="1"/>
  <c r="S57" i="1"/>
  <c r="L57" i="1"/>
  <c r="J57" i="1"/>
  <c r="H57" i="1"/>
  <c r="W56" i="1"/>
  <c r="V56" i="1"/>
  <c r="S56" i="1"/>
  <c r="U56" i="1" s="1"/>
  <c r="L56" i="1"/>
  <c r="W55" i="1"/>
  <c r="V55" i="1"/>
  <c r="U55" i="1"/>
  <c r="S55" i="1"/>
  <c r="L55" i="1"/>
  <c r="S54" i="1"/>
  <c r="U54" i="1" s="1"/>
  <c r="L54" i="1"/>
  <c r="K54" i="1"/>
  <c r="J54" i="1"/>
  <c r="I54" i="1"/>
  <c r="H54" i="1"/>
  <c r="U53" i="1"/>
  <c r="S53" i="1"/>
  <c r="L53" i="1"/>
  <c r="J53" i="1"/>
  <c r="H53" i="1"/>
  <c r="W52" i="1"/>
  <c r="V52" i="1"/>
  <c r="S52" i="1"/>
  <c r="U52" i="1" s="1"/>
  <c r="L52" i="1"/>
  <c r="K52" i="1"/>
  <c r="J52" i="1"/>
  <c r="I52" i="1"/>
  <c r="H52" i="1"/>
  <c r="W51" i="1"/>
  <c r="V51" i="1"/>
  <c r="U51" i="1"/>
  <c r="L51" i="1"/>
  <c r="K51" i="1"/>
  <c r="J51" i="1"/>
  <c r="I51" i="1"/>
  <c r="H51" i="1"/>
  <c r="W50" i="1"/>
  <c r="V50" i="1"/>
  <c r="U50" i="1"/>
  <c r="S50" i="1"/>
  <c r="L50" i="1"/>
  <c r="H50" i="1"/>
  <c r="H58" i="1" s="1"/>
  <c r="W49" i="1"/>
  <c r="V49" i="1"/>
  <c r="S49" i="1"/>
  <c r="L49" i="1"/>
  <c r="K49" i="1"/>
  <c r="J49" i="1"/>
  <c r="I49" i="1"/>
  <c r="H49" i="1"/>
  <c r="W47" i="1"/>
  <c r="S47" i="1"/>
  <c r="L47" i="1"/>
  <c r="H47" i="1"/>
  <c r="W46" i="1"/>
  <c r="T46" i="1"/>
  <c r="T47" i="1" s="1"/>
  <c r="S46" i="1"/>
  <c r="O46" i="1"/>
  <c r="O47" i="1" s="1"/>
  <c r="N46" i="1"/>
  <c r="N47" i="1" s="1"/>
  <c r="M46" i="1"/>
  <c r="M47" i="1" s="1"/>
  <c r="L46" i="1"/>
  <c r="J46" i="1"/>
  <c r="J47" i="1" s="1"/>
  <c r="H46" i="1"/>
  <c r="G46" i="1"/>
  <c r="G47" i="1" s="1"/>
  <c r="C46" i="1"/>
  <c r="C47" i="1" s="1"/>
  <c r="W45" i="1"/>
  <c r="U45" i="1"/>
  <c r="U46" i="1" s="1"/>
  <c r="U47" i="1" s="1"/>
  <c r="L45" i="1"/>
  <c r="K45" i="1"/>
  <c r="K46" i="1" s="1"/>
  <c r="K47" i="1" s="1"/>
  <c r="J45" i="1"/>
  <c r="I45" i="1"/>
  <c r="I46" i="1" s="1"/>
  <c r="I47" i="1" s="1"/>
  <c r="H45" i="1"/>
  <c r="P44" i="1"/>
  <c r="P48" i="1" s="1"/>
  <c r="P59" i="1" s="1"/>
  <c r="D44" i="1"/>
  <c r="R43" i="1"/>
  <c r="V43" i="1" s="1"/>
  <c r="Q43" i="1"/>
  <c r="O43" i="1"/>
  <c r="N43" i="1"/>
  <c r="M43" i="1"/>
  <c r="L43" i="1"/>
  <c r="J43" i="1"/>
  <c r="H43" i="1"/>
  <c r="G43" i="1"/>
  <c r="F43" i="1"/>
  <c r="W43" i="1" s="1"/>
  <c r="E43" i="1"/>
  <c r="D43" i="1"/>
  <c r="C43" i="1"/>
  <c r="W42" i="1"/>
  <c r="V42" i="1"/>
  <c r="T42" i="1"/>
  <c r="S42" i="1"/>
  <c r="U42" i="1" s="1"/>
  <c r="L42" i="1"/>
  <c r="K42" i="1"/>
  <c r="J42" i="1"/>
  <c r="I42" i="1"/>
  <c r="H42" i="1"/>
  <c r="W41" i="1"/>
  <c r="V41" i="1"/>
  <c r="T41" i="1"/>
  <c r="S41" i="1"/>
  <c r="U41" i="1" s="1"/>
  <c r="L41" i="1"/>
  <c r="K41" i="1"/>
  <c r="J41" i="1"/>
  <c r="I41" i="1"/>
  <c r="H41" i="1"/>
  <c r="W40" i="1"/>
  <c r="V40" i="1"/>
  <c r="T40" i="1"/>
  <c r="S40" i="1"/>
  <c r="U40" i="1" s="1"/>
  <c r="L40" i="1"/>
  <c r="K40" i="1"/>
  <c r="J40" i="1"/>
  <c r="I40" i="1"/>
  <c r="H40" i="1"/>
  <c r="W39" i="1"/>
  <c r="V39" i="1"/>
  <c r="T39" i="1"/>
  <c r="T43" i="1" s="1"/>
  <c r="S39" i="1"/>
  <c r="S43" i="1" s="1"/>
  <c r="L39" i="1"/>
  <c r="K39" i="1"/>
  <c r="K43" i="1" s="1"/>
  <c r="J39" i="1"/>
  <c r="I39" i="1"/>
  <c r="I43" i="1" s="1"/>
  <c r="H39" i="1"/>
  <c r="R38" i="1"/>
  <c r="O38" i="1"/>
  <c r="N38" i="1"/>
  <c r="M38" i="1"/>
  <c r="G38" i="1"/>
  <c r="F38" i="1"/>
  <c r="W38" i="1" s="1"/>
  <c r="E38" i="1"/>
  <c r="D38" i="1"/>
  <c r="C38" i="1"/>
  <c r="W37" i="1"/>
  <c r="T37" i="1"/>
  <c r="S37" i="1"/>
  <c r="U37" i="1" s="1"/>
  <c r="Q37" i="1"/>
  <c r="V37" i="1" s="1"/>
  <c r="L37" i="1"/>
  <c r="H37" i="1"/>
  <c r="W36" i="1"/>
  <c r="V36" i="1"/>
  <c r="T36" i="1"/>
  <c r="S36" i="1"/>
  <c r="U36" i="1" s="1"/>
  <c r="Q36" i="1"/>
  <c r="L36" i="1" s="1"/>
  <c r="K36" i="1"/>
  <c r="I36" i="1"/>
  <c r="W35" i="1"/>
  <c r="V35" i="1"/>
  <c r="T35" i="1"/>
  <c r="S35" i="1"/>
  <c r="U35" i="1" s="1"/>
  <c r="L35" i="1"/>
  <c r="K35" i="1"/>
  <c r="J35" i="1"/>
  <c r="I35" i="1"/>
  <c r="H35" i="1"/>
  <c r="W34" i="1"/>
  <c r="T34" i="1"/>
  <c r="S34" i="1"/>
  <c r="U34" i="1" s="1"/>
  <c r="L34" i="1"/>
  <c r="J34" i="1"/>
  <c r="H34" i="1"/>
  <c r="W33" i="1"/>
  <c r="V33" i="1"/>
  <c r="T33" i="1"/>
  <c r="S33" i="1"/>
  <c r="L33" i="1"/>
  <c r="H33" i="1"/>
  <c r="W32" i="1"/>
  <c r="V32" i="1"/>
  <c r="T32" i="1"/>
  <c r="S32" i="1"/>
  <c r="U32" i="1" s="1"/>
  <c r="L32" i="1"/>
  <c r="J32" i="1"/>
  <c r="H32" i="1"/>
  <c r="W31" i="1"/>
  <c r="V31" i="1"/>
  <c r="T31" i="1"/>
  <c r="S31" i="1"/>
  <c r="P31" i="1"/>
  <c r="L31" i="1"/>
  <c r="K31" i="1"/>
  <c r="J31" i="1"/>
  <c r="I31" i="1"/>
  <c r="H31" i="1"/>
  <c r="W30" i="1"/>
  <c r="V30" i="1"/>
  <c r="T30" i="1"/>
  <c r="S30" i="1"/>
  <c r="S38" i="1" s="1"/>
  <c r="L30" i="1"/>
  <c r="K30" i="1"/>
  <c r="J30" i="1"/>
  <c r="I30" i="1"/>
  <c r="H30" i="1"/>
  <c r="W29" i="1"/>
  <c r="R29" i="1"/>
  <c r="Q29" i="1"/>
  <c r="O29" i="1"/>
  <c r="N29" i="1"/>
  <c r="N44" i="1" s="1"/>
  <c r="M29" i="1"/>
  <c r="F29" i="1"/>
  <c r="F44" i="1" s="1"/>
  <c r="E29" i="1"/>
  <c r="D29" i="1"/>
  <c r="C29" i="1"/>
  <c r="W28" i="1"/>
  <c r="V28" i="1"/>
  <c r="T28" i="1"/>
  <c r="S28" i="1"/>
  <c r="U28" i="1" s="1"/>
  <c r="L28" i="1"/>
  <c r="K28" i="1"/>
  <c r="J28" i="1"/>
  <c r="I28" i="1"/>
  <c r="H28" i="1"/>
  <c r="W27" i="1"/>
  <c r="V27" i="1"/>
  <c r="S27" i="1"/>
  <c r="G27" i="1"/>
  <c r="W26" i="1"/>
  <c r="T26" i="1"/>
  <c r="S26" i="1"/>
  <c r="U26" i="1" s="1"/>
  <c r="L26" i="1"/>
  <c r="K26" i="1"/>
  <c r="J26" i="1"/>
  <c r="I26" i="1"/>
  <c r="H26" i="1"/>
  <c r="W25" i="1"/>
  <c r="T25" i="1"/>
  <c r="S25" i="1"/>
  <c r="S29" i="1" s="1"/>
  <c r="Q25" i="1"/>
  <c r="V25" i="1" s="1"/>
  <c r="L25" i="1"/>
  <c r="H25" i="1"/>
  <c r="W24" i="1"/>
  <c r="V24" i="1"/>
  <c r="T24" i="1"/>
  <c r="S24" i="1"/>
  <c r="U24" i="1" s="1"/>
  <c r="L24" i="1"/>
  <c r="J24" i="1"/>
  <c r="H24" i="1"/>
  <c r="R23" i="1"/>
  <c r="O23" i="1"/>
  <c r="O44" i="1" s="1"/>
  <c r="N23" i="1"/>
  <c r="M23" i="1"/>
  <c r="M44" i="1" s="1"/>
  <c r="G23" i="1"/>
  <c r="F23" i="1"/>
  <c r="E23" i="1"/>
  <c r="E44" i="1" s="1"/>
  <c r="D23" i="1"/>
  <c r="C23" i="1"/>
  <c r="C44" i="1" s="1"/>
  <c r="W22" i="1"/>
  <c r="V22" i="1"/>
  <c r="T22" i="1"/>
  <c r="S22" i="1"/>
  <c r="S23" i="1" s="1"/>
  <c r="L22" i="1"/>
  <c r="J22" i="1"/>
  <c r="H22" i="1"/>
  <c r="W21" i="1"/>
  <c r="V21" i="1"/>
  <c r="T21" i="1"/>
  <c r="U21" i="1" s="1"/>
  <c r="Q21" i="1"/>
  <c r="Q23" i="1" s="1"/>
  <c r="L21" i="1"/>
  <c r="H21" i="1"/>
  <c r="G21" i="1"/>
  <c r="W20" i="1"/>
  <c r="V20" i="1"/>
  <c r="U20" i="1"/>
  <c r="T20" i="1"/>
  <c r="L20" i="1"/>
  <c r="H20" i="1"/>
  <c r="H23" i="1" s="1"/>
  <c r="S19" i="1"/>
  <c r="R19" i="1"/>
  <c r="Q19" i="1"/>
  <c r="O19" i="1"/>
  <c r="O48" i="1" s="1"/>
  <c r="O59" i="1" s="1"/>
  <c r="O60" i="1" s="1"/>
  <c r="O62" i="1" s="1"/>
  <c r="N19" i="1"/>
  <c r="M19" i="1"/>
  <c r="M48" i="1" s="1"/>
  <c r="M59" i="1" s="1"/>
  <c r="G19" i="1"/>
  <c r="F19" i="1"/>
  <c r="E19" i="1"/>
  <c r="D19" i="1"/>
  <c r="C19" i="1"/>
  <c r="V18" i="1"/>
  <c r="S18" i="1"/>
  <c r="R18" i="1"/>
  <c r="W18" i="1" s="1"/>
  <c r="Q18" i="1"/>
  <c r="O18" i="1"/>
  <c r="N18" i="1"/>
  <c r="M18" i="1"/>
  <c r="H18" i="1"/>
  <c r="G18" i="1"/>
  <c r="F18" i="1"/>
  <c r="E18" i="1"/>
  <c r="D18" i="1"/>
  <c r="C18" i="1"/>
  <c r="W17" i="1"/>
  <c r="V17" i="1"/>
  <c r="T17" i="1"/>
  <c r="U17" i="1" s="1"/>
  <c r="U18" i="1" s="1"/>
  <c r="L17" i="1"/>
  <c r="L18" i="1" s="1"/>
  <c r="K17" i="1"/>
  <c r="K18" i="1" s="1"/>
  <c r="J17" i="1"/>
  <c r="J18" i="1" s="1"/>
  <c r="I17" i="1"/>
  <c r="I18" i="1" s="1"/>
  <c r="S16" i="1"/>
  <c r="R16" i="1"/>
  <c r="W16" i="1" s="1"/>
  <c r="Q16" i="1"/>
  <c r="O16" i="1"/>
  <c r="N16" i="1"/>
  <c r="M16" i="1"/>
  <c r="G16" i="1"/>
  <c r="F16" i="1"/>
  <c r="E16" i="1"/>
  <c r="D16" i="1"/>
  <c r="C16" i="1"/>
  <c r="W15" i="1"/>
  <c r="U15" i="1"/>
  <c r="T15" i="1"/>
  <c r="L15" i="1"/>
  <c r="W14" i="1"/>
  <c r="V14" i="1"/>
  <c r="T14" i="1"/>
  <c r="U14" i="1" s="1"/>
  <c r="L14" i="1"/>
  <c r="K14" i="1"/>
  <c r="J14" i="1"/>
  <c r="I14" i="1"/>
  <c r="H14" i="1"/>
  <c r="W13" i="1"/>
  <c r="V13" i="1"/>
  <c r="U13" i="1"/>
  <c r="U16" i="1" s="1"/>
  <c r="T13" i="1"/>
  <c r="L13" i="1"/>
  <c r="H13" i="1"/>
  <c r="T12" i="1"/>
  <c r="S12" i="1"/>
  <c r="R12" i="1"/>
  <c r="W12" i="1" s="1"/>
  <c r="Q12" i="1"/>
  <c r="O12" i="1"/>
  <c r="N12" i="1"/>
  <c r="M12" i="1"/>
  <c r="H12" i="1"/>
  <c r="G12" i="1"/>
  <c r="F12" i="1"/>
  <c r="E12" i="1"/>
  <c r="D12" i="1"/>
  <c r="C12" i="1"/>
  <c r="W11" i="1"/>
  <c r="V11" i="1"/>
  <c r="T11" i="1"/>
  <c r="U11" i="1" s="1"/>
  <c r="P11" i="1"/>
  <c r="L11" i="1"/>
  <c r="J11" i="1"/>
  <c r="J38" i="1" l="1"/>
  <c r="J12" i="1"/>
  <c r="H19" i="1"/>
  <c r="H16" i="1"/>
  <c r="L16" i="1"/>
  <c r="K13" i="1"/>
  <c r="K16" i="1" s="1"/>
  <c r="I13" i="1"/>
  <c r="I16" i="1" s="1"/>
  <c r="T16" i="1"/>
  <c r="W19" i="1"/>
  <c r="T19" i="1"/>
  <c r="L23" i="1"/>
  <c r="K20" i="1"/>
  <c r="I20" i="1"/>
  <c r="U23" i="1"/>
  <c r="K21" i="1"/>
  <c r="I21" i="1"/>
  <c r="S44" i="1"/>
  <c r="G44" i="1"/>
  <c r="W23" i="1"/>
  <c r="R44" i="1"/>
  <c r="V23" i="1"/>
  <c r="K25" i="1"/>
  <c r="I25" i="1"/>
  <c r="U25" i="1"/>
  <c r="U30" i="1"/>
  <c r="K33" i="1"/>
  <c r="I33" i="1"/>
  <c r="K37" i="1"/>
  <c r="I37" i="1"/>
  <c r="L19" i="1"/>
  <c r="L12" i="1"/>
  <c r="K11" i="1"/>
  <c r="I11" i="1"/>
  <c r="U19" i="1"/>
  <c r="U12" i="1"/>
  <c r="V12" i="1"/>
  <c r="J13" i="1"/>
  <c r="J16" i="1" s="1"/>
  <c r="V16" i="1"/>
  <c r="T18" i="1"/>
  <c r="C48" i="1"/>
  <c r="C59" i="1" s="1"/>
  <c r="E48" i="1"/>
  <c r="E59" i="1" s="1"/>
  <c r="G48" i="1"/>
  <c r="S48" i="1"/>
  <c r="V19" i="1"/>
  <c r="J20" i="1"/>
  <c r="J21" i="1"/>
  <c r="K22" i="1"/>
  <c r="I22" i="1"/>
  <c r="T23" i="1"/>
  <c r="K24" i="1"/>
  <c r="I24" i="1"/>
  <c r="J25" i="1"/>
  <c r="G29" i="1"/>
  <c r="T27" i="1"/>
  <c r="U27" i="1" s="1"/>
  <c r="L27" i="1"/>
  <c r="V29" i="1"/>
  <c r="T38" i="1"/>
  <c r="U31" i="1"/>
  <c r="K32" i="1"/>
  <c r="K38" i="1" s="1"/>
  <c r="I32" i="1"/>
  <c r="I38" i="1" s="1"/>
  <c r="J33" i="1"/>
  <c r="U33" i="1"/>
  <c r="K34" i="1"/>
  <c r="I34" i="1"/>
  <c r="J36" i="1"/>
  <c r="H36" i="1"/>
  <c r="H38" i="1" s="1"/>
  <c r="J37" i="1"/>
  <c r="L38" i="1"/>
  <c r="Q38" i="1"/>
  <c r="V38" i="1" s="1"/>
  <c r="U39" i="1"/>
  <c r="U43" i="1" s="1"/>
  <c r="K50" i="1"/>
  <c r="I50" i="1"/>
  <c r="H78" i="1"/>
  <c r="H81" i="1"/>
  <c r="J94" i="1"/>
  <c r="J87" i="1"/>
  <c r="I91" i="1"/>
  <c r="I94" i="1"/>
  <c r="D48" i="1"/>
  <c r="D59" i="1" s="1"/>
  <c r="F48" i="1"/>
  <c r="F59" i="1" s="1"/>
  <c r="N48" i="1"/>
  <c r="N59" i="1" s="1"/>
  <c r="N60" i="1" s="1"/>
  <c r="N62" i="1" s="1"/>
  <c r="U22" i="1"/>
  <c r="S58" i="1"/>
  <c r="U49" i="1"/>
  <c r="U58" i="1" s="1"/>
  <c r="J50" i="1"/>
  <c r="J58" i="1" s="1"/>
  <c r="K53" i="1"/>
  <c r="K58" i="1" s="1"/>
  <c r="I53" i="1"/>
  <c r="I58" i="1" s="1"/>
  <c r="K57" i="1"/>
  <c r="I57" i="1"/>
  <c r="L58" i="1"/>
  <c r="W58" i="1"/>
  <c r="V58" i="1"/>
  <c r="K74" i="1"/>
  <c r="J74" i="1"/>
  <c r="J75" i="1"/>
  <c r="J80" i="1"/>
  <c r="J81" i="1"/>
  <c r="K86" i="1"/>
  <c r="I87" i="1"/>
  <c r="K88" i="1"/>
  <c r="K91" i="1" s="1"/>
  <c r="I74" i="1"/>
  <c r="H91" i="1"/>
  <c r="U29" i="1" l="1"/>
  <c r="K94" i="1"/>
  <c r="K87" i="1"/>
  <c r="G59" i="1"/>
  <c r="K19" i="1"/>
  <c r="K12" i="1"/>
  <c r="L48" i="1"/>
  <c r="L59" i="1" s="1"/>
  <c r="U38" i="1"/>
  <c r="W44" i="1"/>
  <c r="U44" i="1"/>
  <c r="U48" i="1" s="1"/>
  <c r="U59" i="1" s="1"/>
  <c r="K23" i="1"/>
  <c r="K75" i="1"/>
  <c r="J78" i="1"/>
  <c r="J27" i="1"/>
  <c r="J29" i="1" s="1"/>
  <c r="H27" i="1"/>
  <c r="H29" i="1" s="1"/>
  <c r="H44" i="1" s="1"/>
  <c r="K27" i="1"/>
  <c r="K29" i="1" s="1"/>
  <c r="I27" i="1"/>
  <c r="I29" i="1" s="1"/>
  <c r="T29" i="1"/>
  <c r="T44" i="1" s="1"/>
  <c r="T48" i="1" s="1"/>
  <c r="T59" i="1" s="1"/>
  <c r="Q44" i="1"/>
  <c r="Q48" i="1" s="1"/>
  <c r="J23" i="1"/>
  <c r="S59" i="1"/>
  <c r="I19" i="1"/>
  <c r="I12" i="1"/>
  <c r="L29" i="1"/>
  <c r="I23" i="1"/>
  <c r="L44" i="1"/>
  <c r="R48" i="1"/>
  <c r="H48" i="1"/>
  <c r="H59" i="1" s="1"/>
  <c r="J19" i="1"/>
  <c r="I44" i="1" l="1"/>
  <c r="Q61" i="1"/>
  <c r="Q59" i="1"/>
  <c r="Q60" i="1" s="1"/>
  <c r="K78" i="1"/>
  <c r="K81" i="1"/>
  <c r="K83" i="1" s="1"/>
  <c r="V44" i="1"/>
  <c r="L67" i="1"/>
  <c r="L65" i="1"/>
  <c r="L66" i="1"/>
  <c r="L64" i="1"/>
  <c r="L68" i="1" s="1"/>
  <c r="L69" i="1" s="1"/>
  <c r="G67" i="1"/>
  <c r="G66" i="1"/>
  <c r="G65" i="1"/>
  <c r="G64" i="1"/>
  <c r="L60" i="1"/>
  <c r="L62" i="1" s="1"/>
  <c r="R59" i="1"/>
  <c r="V48" i="1"/>
  <c r="W48" i="1"/>
  <c r="I48" i="1"/>
  <c r="J44" i="1"/>
  <c r="J48" i="1" s="1"/>
  <c r="J59" i="1" s="1"/>
  <c r="K44" i="1"/>
  <c r="K48" i="1" s="1"/>
  <c r="K59" i="1" s="1"/>
  <c r="G60" i="1"/>
  <c r="G62" i="1" s="1"/>
  <c r="V59" i="1" l="1"/>
  <c r="W59" i="1"/>
  <c r="I63" i="1"/>
  <c r="I59" i="1"/>
  <c r="G68" i="1"/>
  <c r="G69" i="1" s="1"/>
</calcChain>
</file>

<file path=xl/sharedStrings.xml><?xml version="1.0" encoding="utf-8"?>
<sst xmlns="http://schemas.openxmlformats.org/spreadsheetml/2006/main" count="145" uniqueCount="109">
  <si>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</si>
  <si>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</si>
  <si>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</si>
  <si>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</si>
  <si>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 MINIMALNI STANDARD</t>
  </si>
  <si>
    <t>Aktivnost 309002: REDOVNA DJELATNOST IZNAD MINIMALNOG STANDARDA</t>
  </si>
  <si>
    <t>FINANCIJSKI PLAN ZA 2020.G. - Izvršenje nakon preraspodjele Odluka Gradonačelnika 29.01.2020.</t>
  </si>
  <si>
    <t>PLAN 2020. PO IZVORIMA FINANCIRANJA</t>
  </si>
  <si>
    <t>IZVRŠENJE 2020. PO IZVORIMA FINANCIRANJA</t>
  </si>
  <si>
    <t>Naziv računa</t>
  </si>
  <si>
    <t>Izvršenje
2016.</t>
  </si>
  <si>
    <t>Izvršenje
2017.</t>
  </si>
  <si>
    <t>Izvršenje
2018.</t>
  </si>
  <si>
    <t>Izvršenje 2019.</t>
  </si>
  <si>
    <t>Minimalni
standardi
Uredba NN 128/19</t>
  </si>
  <si>
    <t>Grad Opatija
57%</t>
  </si>
  <si>
    <t>Općina
Matulji
23%</t>
  </si>
  <si>
    <t>Općina
Lovran
14%</t>
  </si>
  <si>
    <t xml:space="preserve">Općina 
M.Draga
6% </t>
  </si>
  <si>
    <t>Izvan minimalnih
standarda</t>
  </si>
  <si>
    <t>Vlastiti
prihodi</t>
  </si>
  <si>
    <t>Plan
2017.</t>
  </si>
  <si>
    <t>Plan
2018.</t>
  </si>
  <si>
    <t>PLAN
2020. II. IZMJENE</t>
  </si>
  <si>
    <t>Izvršenje
2020.</t>
  </si>
  <si>
    <t>Preneseno
minimalni
standard</t>
  </si>
  <si>
    <t>Izvan
minimalnog
standarda</t>
  </si>
  <si>
    <t>Indeks
Izvršenje/
Plan</t>
  </si>
  <si>
    <t>Indeks izvršenje
2020/
2019</t>
  </si>
  <si>
    <t>15</t>
  </si>
  <si>
    <t>16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</si>
  <si>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</si>
  <si>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</si>
  <si>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</si>
  <si>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</si>
  <si>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</si>
  <si>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</si>
  <si>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</si>
  <si>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</si>
  <si>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</si>
  <si>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</si>
  <si>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</si>
  <si>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</si>
  <si>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</si>
  <si>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mater.</t>
  </si>
  <si>
    <t>Energija</t>
  </si>
  <si>
    <t>Materijal i dijelovi za tek. Održav.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</si>
  <si>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</si>
  <si>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</si>
  <si>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</si>
  <si>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</si>
  <si>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</si>
  <si>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</si>
  <si>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Komunalane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</si>
  <si>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</si>
  <si>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</si>
  <si>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</si>
  <si>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</si>
  <si>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</si>
  <si>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</si>
  <si>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</si>
  <si>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</si>
  <si>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</si>
  <si>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</si>
  <si>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</si>
  <si>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</si>
  <si>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Ostali financijski rashodi</t>
  </si>
  <si>
    <t>FINANCIJSKI RASHODI</t>
  </si>
  <si>
    <t>RASHODI POSLOVANJA</t>
  </si>
  <si>
    <t>Uredska oprema i namještaj</t>
  </si>
  <si>
    <t>Oprema za održav.i zaštitu</t>
  </si>
  <si>
    <t>Ulaganje u računalne programe</t>
  </si>
  <si>
    <t>Izrada projektne dokumentacije za vatrogasni dom</t>
  </si>
  <si>
    <t>Kapitalne donacije neprofit</t>
  </si>
  <si>
    <t>Prijevozna sredstva</t>
  </si>
  <si>
    <t xml:space="preserve">Izdaci za financijsku imovinu </t>
  </si>
  <si>
    <t>Kamate na primljene zajmove i ost</t>
  </si>
  <si>
    <t>Ostali nesp. rashodi poslovanja</t>
  </si>
  <si>
    <t>3,4, 5</t>
  </si>
  <si>
    <t>RASHODI ZA NABAVU NEFIN. i FINANC. IMOVINE</t>
  </si>
  <si>
    <t>UKUPNO PLAN J V P</t>
  </si>
  <si>
    <t>Izvan minimalnog standarda</t>
  </si>
  <si>
    <t>Proračunski okvir</t>
  </si>
  <si>
    <t>Razlika</t>
  </si>
  <si>
    <t xml:space="preserve">RASPORED NA J L S </t>
  </si>
  <si>
    <t>Grad Opatija</t>
  </si>
  <si>
    <t>Općina Matulji</t>
  </si>
  <si>
    <t>Općina Lovran</t>
  </si>
  <si>
    <t>Općina M.Draga</t>
  </si>
  <si>
    <t>Ukupno</t>
  </si>
  <si>
    <t>Ostale JLS</t>
  </si>
  <si>
    <t>Do kraja godine - obaveze</t>
  </si>
  <si>
    <t>Izvršenje
2015.</t>
  </si>
  <si>
    <t>IZVRŠENJE
12.09.16.</t>
  </si>
  <si>
    <t>Mjesečno</t>
  </si>
  <si>
    <t>Ukupno
izvršenje</t>
  </si>
  <si>
    <t>Jubilarna – 30 godina                     29000,00</t>
  </si>
  <si>
    <t>6</t>
  </si>
  <si>
    <t>9</t>
  </si>
  <si>
    <t>10</t>
  </si>
  <si>
    <t>11</t>
  </si>
  <si>
    <t>12</t>
  </si>
  <si>
    <t>Otpremnina                                      57000,00</t>
  </si>
  <si>
    <t>Božićnica                                             37000,00              (-Čulić 1000,00?)</t>
  </si>
  <si>
    <t>Pomoć Alfonzi                                  21600,00              (5400 x 4)</t>
  </si>
  <si>
    <t>Dar deci                                               11400,00              (-Čulić 2x600)</t>
  </si>
  <si>
    <t>Prijevoz                                               36000,00</t>
  </si>
  <si>
    <t>Croatia – premija                             11500,00</t>
  </si>
  <si>
    <t>Ukupno                                            203500,00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</si>
</sst>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theme="8" tint="-0.249977111117893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b/>
      <sz val="8"/>
      <color rgb="FF0070C0"/>
      <name val="Arial"/>
      <family val="2"/>
      <charset val="238"/>
    </font>
    <font>
      <i/>
      <sz val="8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theme="8"/>
      <name val="Arial"/>
      <family val="2"/>
      <charset val="238"/>
    </font>
    <font>
      <sz val="11"/>
      <name val="Calibri"/>
      <family val="2"/>
      <charset val="238"/>
    </font>
    <font>
      <i/>
      <sz val="8"/>
      <color theme="9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/>
    <xf numFmtId="3" fontId="3" fillId="0" borderId="0" xfId="0" applyNumberFormat="1" applyFont="1"/>
    <xf numFmtId="4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2" borderId="0" xfId="0" applyNumberFormat="1" applyFont="1" applyFill="1"/>
    <xf numFmtId="3" fontId="8" fillId="0" borderId="0" xfId="0" applyNumberFormat="1" applyFont="1"/>
    <xf numFmtId="0" fontId="8" fillId="3" borderId="0" xfId="0" applyFont="1" applyFill="1"/>
    <xf numFmtId="3" fontId="3" fillId="3" borderId="0" xfId="0" applyNumberFormat="1" applyFont="1" applyFill="1"/>
    <xf numFmtId="4" fontId="2" fillId="3" borderId="0" xfId="0" applyNumberFormat="1" applyFont="1" applyFill="1"/>
    <xf numFmtId="3" fontId="4" fillId="3" borderId="0" xfId="0" applyNumberFormat="1" applyFont="1" applyFill="1"/>
    <xf numFmtId="3" fontId="9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left"/>
    </xf>
    <xf numFmtId="0" fontId="8" fillId="5" borderId="0" xfId="0" applyFont="1" applyFill="1"/>
    <xf numFmtId="0" fontId="10" fillId="5" borderId="0" xfId="0" applyFont="1" applyFill="1"/>
    <xf numFmtId="4" fontId="2" fillId="5" borderId="0" xfId="0" applyNumberFormat="1" applyFont="1" applyFill="1"/>
    <xf numFmtId="3" fontId="11" fillId="5" borderId="0" xfId="0" applyNumberFormat="1" applyFont="1" applyFill="1" applyAlignment="1">
      <alignment horizontal="center"/>
    </xf>
    <xf numFmtId="3" fontId="8" fillId="6" borderId="0" xfId="0" applyNumberFormat="1" applyFont="1" applyFill="1"/>
    <xf numFmtId="0" fontId="0" fillId="0" borderId="0" xfId="0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4" fontId="8" fillId="7" borderId="17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1" xfId="0" quotePrefix="1" applyFont="1" applyBorder="1" applyAlignment="1">
      <alignment horizontal="center"/>
    </xf>
    <xf numFmtId="0" fontId="8" fillId="0" borderId="12" xfId="0" quotePrefix="1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3" fontId="12" fillId="0" borderId="13" xfId="0" quotePrefix="1" applyNumberFormat="1" applyFont="1" applyBorder="1" applyAlignment="1">
      <alignment horizontal="center"/>
    </xf>
    <xf numFmtId="3" fontId="8" fillId="0" borderId="18" xfId="0" quotePrefix="1" applyNumberFormat="1" applyFont="1" applyBorder="1" applyAlignment="1">
      <alignment horizontal="center"/>
    </xf>
    <xf numFmtId="3" fontId="13" fillId="0" borderId="18" xfId="0" quotePrefix="1" applyNumberFormat="1" applyFont="1" applyBorder="1" applyAlignment="1">
      <alignment horizontal="center"/>
    </xf>
    <xf numFmtId="3" fontId="14" fillId="0" borderId="18" xfId="0" quotePrefix="1" applyNumberFormat="1" applyFont="1" applyBorder="1" applyAlignment="1">
      <alignment horizontal="center"/>
    </xf>
    <xf numFmtId="3" fontId="10" fillId="0" borderId="18" xfId="0" quotePrefix="1" applyNumberFormat="1" applyFont="1" applyBorder="1" applyAlignment="1">
      <alignment horizontal="center"/>
    </xf>
    <xf numFmtId="3" fontId="10" fillId="0" borderId="10" xfId="0" quotePrefix="1" applyNumberFormat="1" applyFont="1" applyBorder="1" applyAlignment="1">
      <alignment horizontal="center"/>
    </xf>
    <xf numFmtId="0" fontId="8" fillId="7" borderId="19" xfId="0" quotePrefix="1" applyFont="1" applyFill="1" applyBorder="1" applyAlignment="1">
      <alignment horizontal="center"/>
    </xf>
    <xf numFmtId="3" fontId="12" fillId="0" borderId="18" xfId="0" quotePrefix="1" applyNumberFormat="1" applyFont="1" applyBorder="1" applyAlignment="1">
      <alignment horizontal="center"/>
    </xf>
    <xf numFmtId="0" fontId="13" fillId="0" borderId="18" xfId="0" quotePrefix="1" applyFont="1" applyBorder="1" applyAlignment="1">
      <alignment horizontal="center"/>
    </xf>
    <xf numFmtId="0" fontId="8" fillId="0" borderId="18" xfId="0" quotePrefix="1" applyFont="1" applyBorder="1" applyAlignment="1">
      <alignment horizontal="center"/>
    </xf>
    <xf numFmtId="0" fontId="8" fillId="0" borderId="20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3" fontId="15" fillId="0" borderId="21" xfId="0" applyNumberFormat="1" applyFont="1" applyBorder="1"/>
    <xf numFmtId="3" fontId="2" fillId="0" borderId="18" xfId="0" applyNumberFormat="1" applyFont="1" applyBorder="1"/>
    <xf numFmtId="3" fontId="16" fillId="0" borderId="18" xfId="0" applyNumberFormat="1" applyFont="1" applyBorder="1"/>
    <xf numFmtId="3" fontId="6" fillId="0" borderId="18" xfId="0" applyNumberFormat="1" applyFont="1" applyBorder="1"/>
    <xf numFmtId="3" fontId="3" fillId="0" borderId="18" xfId="0" applyNumberFormat="1" applyFont="1" applyBorder="1"/>
    <xf numFmtId="3" fontId="3" fillId="0" borderId="10" xfId="0" applyNumberFormat="1" applyFont="1" applyBorder="1"/>
    <xf numFmtId="3" fontId="2" fillId="7" borderId="22" xfId="0" applyNumberFormat="1" applyFont="1" applyFill="1" applyBorder="1"/>
    <xf numFmtId="4" fontId="6" fillId="0" borderId="18" xfId="0" applyNumberFormat="1" applyFont="1" applyBorder="1"/>
    <xf numFmtId="3" fontId="15" fillId="0" borderId="23" xfId="0" applyNumberFormat="1" applyFont="1" applyBorder="1"/>
    <xf numFmtId="4" fontId="16" fillId="0" borderId="18" xfId="0" applyNumberFormat="1" applyFont="1" applyBorder="1"/>
    <xf numFmtId="4" fontId="2" fillId="0" borderId="18" xfId="0" applyNumberFormat="1" applyFont="1" applyBorder="1"/>
    <xf numFmtId="4" fontId="2" fillId="0" borderId="20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wrapText="1"/>
    </xf>
    <xf numFmtId="4" fontId="8" fillId="0" borderId="11" xfId="0" applyNumberFormat="1" applyFont="1" applyBorder="1"/>
    <xf numFmtId="4" fontId="8" fillId="0" borderId="12" xfId="0" applyNumberFormat="1" applyFont="1" applyBorder="1"/>
    <xf numFmtId="4" fontId="8" fillId="0" borderId="13" xfId="0" applyNumberFormat="1" applyFont="1" applyBorder="1"/>
    <xf numFmtId="3" fontId="12" fillId="0" borderId="24" xfId="0" applyNumberFormat="1" applyFont="1" applyBorder="1"/>
    <xf numFmtId="3" fontId="8" fillId="0" borderId="18" xfId="0" applyNumberFormat="1" applyFont="1" applyBorder="1"/>
    <xf numFmtId="3" fontId="13" fillId="0" borderId="18" xfId="0" applyNumberFormat="1" applyFont="1" applyBorder="1"/>
    <xf numFmtId="3" fontId="14" fillId="0" borderId="18" xfId="0" applyNumberFormat="1" applyFont="1" applyBorder="1"/>
    <xf numFmtId="3" fontId="17" fillId="0" borderId="18" xfId="0" applyNumberFormat="1" applyFont="1" applyBorder="1"/>
    <xf numFmtId="3" fontId="10" fillId="0" borderId="18" xfId="0" applyNumberFormat="1" applyFont="1" applyBorder="1"/>
    <xf numFmtId="3" fontId="10" fillId="0" borderId="10" xfId="0" applyNumberFormat="1" applyFont="1" applyBorder="1"/>
    <xf numFmtId="3" fontId="8" fillId="7" borderId="20" xfId="0" applyNumberFormat="1" applyFont="1" applyFill="1" applyBorder="1"/>
    <xf numFmtId="4" fontId="14" fillId="0" borderId="18" xfId="0" applyNumberFormat="1" applyFont="1" applyBorder="1"/>
    <xf numFmtId="3" fontId="12" fillId="0" borderId="23" xfId="0" applyNumberFormat="1" applyFont="1" applyBorder="1"/>
    <xf numFmtId="4" fontId="13" fillId="0" borderId="18" xfId="0" applyNumberFormat="1" applyFont="1" applyBorder="1"/>
    <xf numFmtId="4" fontId="8" fillId="0" borderId="18" xfId="0" applyNumberFormat="1" applyFont="1" applyBorder="1"/>
    <xf numFmtId="4" fontId="8" fillId="0" borderId="20" xfId="0" applyNumberFormat="1" applyFont="1" applyBorder="1"/>
    <xf numFmtId="3" fontId="15" fillId="0" borderId="24" xfId="0" applyNumberFormat="1" applyFont="1" applyBorder="1"/>
    <xf numFmtId="3" fontId="2" fillId="7" borderId="20" xfId="0" applyNumberFormat="1" applyFont="1" applyFill="1" applyBorder="1"/>
    <xf numFmtId="0" fontId="2" fillId="0" borderId="10" xfId="0" applyFont="1" applyBorder="1" applyAlignment="1">
      <alignment horizontal="left" wrapText="1"/>
    </xf>
    <xf numFmtId="4" fontId="2" fillId="0" borderId="25" xfId="0" applyNumberFormat="1" applyFont="1" applyBorder="1"/>
    <xf numFmtId="4" fontId="2" fillId="0" borderId="26" xfId="0" applyNumberFormat="1" applyFont="1" applyBorder="1"/>
    <xf numFmtId="4" fontId="2" fillId="0" borderId="27" xfId="0" applyNumberFormat="1" applyFont="1" applyBorder="1"/>
    <xf numFmtId="3" fontId="16" fillId="0" borderId="28" xfId="0" applyNumberFormat="1" applyFont="1" applyBorder="1"/>
    <xf numFmtId="3" fontId="6" fillId="0" borderId="28" xfId="0" applyNumberFormat="1" applyFont="1" applyBorder="1"/>
    <xf numFmtId="3" fontId="2" fillId="0" borderId="28" xfId="1" applyNumberFormat="1" applyFont="1" applyBorder="1" applyAlignment="1">
      <alignment horizontal="right"/>
    </xf>
    <xf numFmtId="3" fontId="3" fillId="0" borderId="28" xfId="1" applyNumberFormat="1" applyFont="1" applyBorder="1" applyAlignment="1">
      <alignment horizontal="right"/>
    </xf>
    <xf numFmtId="3" fontId="3" fillId="0" borderId="29" xfId="1" applyNumberFormat="1" applyFont="1" applyBorder="1" applyAlignment="1">
      <alignment horizontal="right"/>
    </xf>
    <xf numFmtId="4" fontId="6" fillId="0" borderId="28" xfId="0" applyNumberFormat="1" applyFont="1" applyBorder="1"/>
    <xf numFmtId="3" fontId="15" fillId="0" borderId="30" xfId="0" applyNumberFormat="1" applyFont="1" applyBorder="1"/>
    <xf numFmtId="4" fontId="16" fillId="0" borderId="28" xfId="0" applyNumberFormat="1" applyFont="1" applyBorder="1"/>
    <xf numFmtId="4" fontId="2" fillId="0" borderId="28" xfId="0" applyNumberFormat="1" applyFont="1" applyBorder="1"/>
    <xf numFmtId="4" fontId="8" fillId="0" borderId="25" xfId="0" applyNumberFormat="1" applyFont="1" applyBorder="1"/>
    <xf numFmtId="4" fontId="8" fillId="0" borderId="26" xfId="0" applyNumberFormat="1" applyFont="1" applyBorder="1"/>
    <xf numFmtId="4" fontId="8" fillId="0" borderId="27" xfId="0" applyNumberFormat="1" applyFont="1" applyBorder="1"/>
    <xf numFmtId="3" fontId="8" fillId="0" borderId="28" xfId="0" applyNumberFormat="1" applyFont="1" applyBorder="1"/>
    <xf numFmtId="3" fontId="13" fillId="0" borderId="28" xfId="0" applyNumberFormat="1" applyFont="1" applyBorder="1"/>
    <xf numFmtId="3" fontId="14" fillId="0" borderId="28" xfId="0" applyNumberFormat="1" applyFont="1" applyBorder="1"/>
    <xf numFmtId="3" fontId="17" fillId="0" borderId="28" xfId="0" applyNumberFormat="1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4" fontId="14" fillId="0" borderId="28" xfId="0" applyNumberFormat="1" applyFont="1" applyBorder="1"/>
    <xf numFmtId="3" fontId="12" fillId="0" borderId="31" xfId="0" applyNumberFormat="1" applyFont="1" applyBorder="1"/>
    <xf numFmtId="4" fontId="13" fillId="0" borderId="28" xfId="0" applyNumberFormat="1" applyFont="1" applyBorder="1"/>
    <xf numFmtId="4" fontId="8" fillId="0" borderId="28" xfId="0" applyNumberFormat="1" applyFont="1" applyBorder="1"/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/>
    <xf numFmtId="4" fontId="8" fillId="8" borderId="32" xfId="0" applyNumberFormat="1" applyFont="1" applyFill="1" applyBorder="1"/>
    <xf numFmtId="4" fontId="8" fillId="8" borderId="33" xfId="0" applyNumberFormat="1" applyFont="1" applyFill="1" applyBorder="1"/>
    <xf numFmtId="4" fontId="8" fillId="8" borderId="34" xfId="0" applyNumberFormat="1" applyFont="1" applyFill="1" applyBorder="1"/>
    <xf numFmtId="3" fontId="12" fillId="8" borderId="24" xfId="0" applyNumberFormat="1" applyFont="1" applyFill="1" applyBorder="1"/>
    <xf numFmtId="3" fontId="8" fillId="8" borderId="35" xfId="0" applyNumberFormat="1" applyFont="1" applyFill="1" applyBorder="1"/>
    <xf numFmtId="3" fontId="13" fillId="8" borderId="35" xfId="0" applyNumberFormat="1" applyFont="1" applyFill="1" applyBorder="1"/>
    <xf numFmtId="3" fontId="14" fillId="8" borderId="35" xfId="0" applyNumberFormat="1" applyFont="1" applyFill="1" applyBorder="1"/>
    <xf numFmtId="3" fontId="17" fillId="8" borderId="35" xfId="0" applyNumberFormat="1" applyFont="1" applyFill="1" applyBorder="1"/>
    <xf numFmtId="3" fontId="10" fillId="8" borderId="35" xfId="0" applyNumberFormat="1" applyFont="1" applyFill="1" applyBorder="1"/>
    <xf numFmtId="3" fontId="10" fillId="8" borderId="36" xfId="0" applyNumberFormat="1" applyFont="1" applyFill="1" applyBorder="1"/>
    <xf numFmtId="4" fontId="14" fillId="8" borderId="35" xfId="0" applyNumberFormat="1" applyFont="1" applyFill="1" applyBorder="1"/>
    <xf numFmtId="3" fontId="12" fillId="8" borderId="37" xfId="0" applyNumberFormat="1" applyFont="1" applyFill="1" applyBorder="1"/>
    <xf numFmtId="4" fontId="13" fillId="8" borderId="35" xfId="0" applyNumberFormat="1" applyFont="1" applyFill="1" applyBorder="1"/>
    <xf numFmtId="4" fontId="8" fillId="8" borderId="35" xfId="0" applyNumberFormat="1" applyFont="1" applyFill="1" applyBorder="1"/>
    <xf numFmtId="4" fontId="8" fillId="8" borderId="20" xfId="0" applyNumberFormat="1" applyFont="1" applyFill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2" fillId="0" borderId="14" xfId="0" applyNumberFormat="1" applyFont="1" applyBorder="1"/>
    <xf numFmtId="3" fontId="2" fillId="0" borderId="15" xfId="0" applyNumberFormat="1" applyFont="1" applyBorder="1"/>
    <xf numFmtId="3" fontId="16" fillId="0" borderId="15" xfId="0" applyNumberFormat="1" applyFont="1" applyBorder="1"/>
    <xf numFmtId="3" fontId="6" fillId="0" borderId="15" xfId="0" applyNumberFormat="1" applyFont="1" applyBorder="1"/>
    <xf numFmtId="3" fontId="2" fillId="0" borderId="16" xfId="0" applyNumberFormat="1" applyFont="1" applyBorder="1"/>
    <xf numFmtId="4" fontId="6" fillId="0" borderId="15" xfId="0" applyNumberFormat="1" applyFont="1" applyBorder="1"/>
    <xf numFmtId="3" fontId="15" fillId="0" borderId="40" xfId="0" applyNumberFormat="1" applyFont="1" applyBorder="1"/>
    <xf numFmtId="4" fontId="16" fillId="0" borderId="15" xfId="0" applyNumberFormat="1" applyFont="1" applyBorder="1"/>
    <xf numFmtId="4" fontId="2" fillId="0" borderId="15" xfId="0" applyNumberFormat="1" applyFont="1" applyBorder="1"/>
    <xf numFmtId="3" fontId="2" fillId="0" borderId="10" xfId="0" applyNumberFormat="1" applyFont="1" applyBorder="1"/>
    <xf numFmtId="3" fontId="18" fillId="7" borderId="20" xfId="0" applyNumberFormat="1" applyFont="1" applyFill="1" applyBorder="1"/>
    <xf numFmtId="3" fontId="17" fillId="0" borderId="10" xfId="0" applyNumberFormat="1" applyFont="1" applyBorder="1"/>
    <xf numFmtId="0" fontId="17" fillId="0" borderId="10" xfId="0" applyFont="1" applyBorder="1" applyAlignment="1">
      <alignment horizontal="left" wrapText="1"/>
    </xf>
    <xf numFmtId="1" fontId="2" fillId="0" borderId="9" xfId="0" quotePrefix="1" applyNumberFormat="1" applyFont="1" applyBorder="1" applyAlignment="1">
      <alignment horizontal="center"/>
    </xf>
    <xf numFmtId="1" fontId="17" fillId="0" borderId="9" xfId="0" quotePrefix="1" applyNumberFormat="1" applyFont="1" applyBorder="1" applyAlignment="1">
      <alignment horizontal="center"/>
    </xf>
    <xf numFmtId="3" fontId="12" fillId="0" borderId="30" xfId="0" applyNumberFormat="1" applyFont="1" applyBorder="1"/>
    <xf numFmtId="1" fontId="17" fillId="8" borderId="9" xfId="0" quotePrefix="1" applyNumberFormat="1" applyFont="1" applyFill="1" applyBorder="1" applyAlignment="1">
      <alignment horizontal="center"/>
    </xf>
    <xf numFmtId="0" fontId="17" fillId="8" borderId="10" xfId="0" applyFont="1" applyFill="1" applyBorder="1" applyAlignment="1">
      <alignment wrapText="1"/>
    </xf>
    <xf numFmtId="4" fontId="8" fillId="8" borderId="11" xfId="0" applyNumberFormat="1" applyFont="1" applyFill="1" applyBorder="1"/>
    <xf numFmtId="4" fontId="8" fillId="8" borderId="12" xfId="0" applyNumberFormat="1" applyFont="1" applyFill="1" applyBorder="1"/>
    <xf numFmtId="4" fontId="8" fillId="8" borderId="13" xfId="0" applyNumberFormat="1" applyFont="1" applyFill="1" applyBorder="1"/>
    <xf numFmtId="3" fontId="8" fillId="8" borderId="18" xfId="0" applyNumberFormat="1" applyFont="1" applyFill="1" applyBorder="1"/>
    <xf numFmtId="3" fontId="17" fillId="8" borderId="18" xfId="0" applyNumberFormat="1" applyFont="1" applyFill="1" applyBorder="1"/>
    <xf numFmtId="3" fontId="14" fillId="8" borderId="18" xfId="0" applyNumberFormat="1" applyFont="1" applyFill="1" applyBorder="1"/>
    <xf numFmtId="3" fontId="8" fillId="8" borderId="10" xfId="0" applyNumberFormat="1" applyFont="1" applyFill="1" applyBorder="1"/>
    <xf numFmtId="4" fontId="14" fillId="8" borderId="18" xfId="0" applyNumberFormat="1" applyFont="1" applyFill="1" applyBorder="1"/>
    <xf numFmtId="4" fontId="12" fillId="8" borderId="18" xfId="0" applyNumberFormat="1" applyFont="1" applyFill="1" applyBorder="1"/>
    <xf numFmtId="4" fontId="13" fillId="8" borderId="18" xfId="0" applyNumberFormat="1" applyFont="1" applyFill="1" applyBorder="1"/>
    <xf numFmtId="4" fontId="8" fillId="8" borderId="18" xfId="0" applyNumberFormat="1" applyFont="1" applyFill="1" applyBorder="1"/>
    <xf numFmtId="4" fontId="15" fillId="0" borderId="18" xfId="0" applyNumberFormat="1" applyFont="1" applyBorder="1"/>
    <xf numFmtId="1" fontId="19" fillId="0" borderId="9" xfId="0" quotePrefix="1" applyNumberFormat="1" applyFont="1" applyBorder="1" applyAlignment="1">
      <alignment horizontal="center"/>
    </xf>
    <xf numFmtId="0" fontId="19" fillId="0" borderId="10" xfId="0" applyFont="1" applyBorder="1" applyAlignment="1">
      <alignment wrapText="1"/>
    </xf>
    <xf numFmtId="3" fontId="19" fillId="0" borderId="18" xfId="0" applyNumberFormat="1" applyFont="1" applyBorder="1"/>
    <xf numFmtId="4" fontId="2" fillId="8" borderId="11" xfId="0" applyNumberFormat="1" applyFont="1" applyFill="1" applyBorder="1"/>
    <xf numFmtId="4" fontId="2" fillId="8" borderId="12" xfId="0" applyNumberFormat="1" applyFont="1" applyFill="1" applyBorder="1"/>
    <xf numFmtId="4" fontId="2" fillId="8" borderId="13" xfId="0" applyNumberFormat="1" applyFont="1" applyFill="1" applyBorder="1"/>
    <xf numFmtId="3" fontId="2" fillId="8" borderId="18" xfId="0" applyNumberFormat="1" applyFont="1" applyFill="1" applyBorder="1"/>
    <xf numFmtId="3" fontId="16" fillId="8" borderId="18" xfId="0" applyNumberFormat="1" applyFont="1" applyFill="1" applyBorder="1"/>
    <xf numFmtId="3" fontId="6" fillId="8" borderId="18" xfId="0" applyNumberFormat="1" applyFont="1" applyFill="1" applyBorder="1"/>
    <xf numFmtId="3" fontId="19" fillId="8" borderId="18" xfId="0" applyNumberFormat="1" applyFont="1" applyFill="1" applyBorder="1"/>
    <xf numFmtId="3" fontId="19" fillId="8" borderId="10" xfId="0" applyNumberFormat="1" applyFont="1" applyFill="1" applyBorder="1"/>
    <xf numFmtId="4" fontId="6" fillId="8" borderId="18" xfId="0" applyNumberFormat="1" applyFont="1" applyFill="1" applyBorder="1"/>
    <xf numFmtId="4" fontId="15" fillId="8" borderId="18" xfId="0" applyNumberFormat="1" applyFont="1" applyFill="1" applyBorder="1"/>
    <xf numFmtId="4" fontId="16" fillId="8" borderId="18" xfId="0" applyNumberFormat="1" applyFont="1" applyFill="1" applyBorder="1"/>
    <xf numFmtId="4" fontId="2" fillId="8" borderId="18" xfId="0" applyNumberFormat="1" applyFont="1" applyFill="1" applyBorder="1"/>
    <xf numFmtId="0" fontId="8" fillId="9" borderId="9" xfId="0" applyFont="1" applyFill="1" applyBorder="1" applyAlignment="1">
      <alignment horizontal="center"/>
    </xf>
    <xf numFmtId="0" fontId="8" fillId="9" borderId="10" xfId="0" applyFont="1" applyFill="1" applyBorder="1" applyAlignment="1">
      <alignment wrapText="1"/>
    </xf>
    <xf numFmtId="4" fontId="8" fillId="9" borderId="11" xfId="0" applyNumberFormat="1" applyFont="1" applyFill="1" applyBorder="1"/>
    <xf numFmtId="4" fontId="8" fillId="9" borderId="12" xfId="0" applyNumberFormat="1" applyFont="1" applyFill="1" applyBorder="1"/>
    <xf numFmtId="4" fontId="8" fillId="9" borderId="13" xfId="0" applyNumberFormat="1" applyFont="1" applyFill="1" applyBorder="1"/>
    <xf numFmtId="3" fontId="12" fillId="9" borderId="24" xfId="0" applyNumberFormat="1" applyFont="1" applyFill="1" applyBorder="1"/>
    <xf numFmtId="3" fontId="8" fillId="9" borderId="18" xfId="0" applyNumberFormat="1" applyFont="1" applyFill="1" applyBorder="1"/>
    <xf numFmtId="3" fontId="13" fillId="9" borderId="18" xfId="0" applyNumberFormat="1" applyFont="1" applyFill="1" applyBorder="1"/>
    <xf numFmtId="3" fontId="14" fillId="9" borderId="18" xfId="0" applyNumberFormat="1" applyFont="1" applyFill="1" applyBorder="1"/>
    <xf numFmtId="3" fontId="14" fillId="3" borderId="18" xfId="0" applyNumberFormat="1" applyFont="1" applyFill="1" applyBorder="1"/>
    <xf numFmtId="4" fontId="14" fillId="9" borderId="18" xfId="0" applyNumberFormat="1" applyFont="1" applyFill="1" applyBorder="1"/>
    <xf numFmtId="4" fontId="12" fillId="9" borderId="18" xfId="0" applyNumberFormat="1" applyFont="1" applyFill="1" applyBorder="1"/>
    <xf numFmtId="4" fontId="13" fillId="9" borderId="18" xfId="0" applyNumberFormat="1" applyFont="1" applyFill="1" applyBorder="1"/>
    <xf numFmtId="4" fontId="8" fillId="9" borderId="18" xfId="0" applyNumberFormat="1" applyFont="1" applyFill="1" applyBorder="1"/>
    <xf numFmtId="4" fontId="8" fillId="9" borderId="20" xfId="0" applyNumberFormat="1" applyFont="1" applyFill="1" applyBorder="1"/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wrapText="1"/>
    </xf>
    <xf numFmtId="4" fontId="2" fillId="6" borderId="41" xfId="0" applyNumberFormat="1" applyFont="1" applyFill="1" applyBorder="1"/>
    <xf numFmtId="4" fontId="2" fillId="6" borderId="42" xfId="0" applyNumberFormat="1" applyFont="1" applyFill="1" applyBorder="1"/>
    <xf numFmtId="4" fontId="2" fillId="6" borderId="43" xfId="0" applyNumberFormat="1" applyFont="1" applyFill="1" applyBorder="1"/>
    <xf numFmtId="3" fontId="15" fillId="6" borderId="44" xfId="0" applyNumberFormat="1" applyFont="1" applyFill="1" applyBorder="1"/>
    <xf numFmtId="3" fontId="2" fillId="0" borderId="45" xfId="0" applyNumberFormat="1" applyFont="1" applyBorder="1"/>
    <xf numFmtId="3" fontId="16" fillId="0" borderId="45" xfId="0" applyNumberFormat="1" applyFont="1" applyBorder="1"/>
    <xf numFmtId="3" fontId="6" fillId="6" borderId="46" xfId="0" applyNumberFormat="1" applyFont="1" applyFill="1" applyBorder="1"/>
    <xf numFmtId="3" fontId="8" fillId="6" borderId="47" xfId="0" applyNumberFormat="1" applyFont="1" applyFill="1" applyBorder="1"/>
    <xf numFmtId="3" fontId="10" fillId="6" borderId="47" xfId="0" applyNumberFormat="1" applyFont="1" applyFill="1" applyBorder="1"/>
    <xf numFmtId="3" fontId="10" fillId="6" borderId="48" xfId="0" applyNumberFormat="1" applyFont="1" applyFill="1" applyBorder="1"/>
    <xf numFmtId="4" fontId="6" fillId="6" borderId="47" xfId="0" applyNumberFormat="1" applyFont="1" applyFill="1" applyBorder="1"/>
    <xf numFmtId="4" fontId="15" fillId="6" borderId="47" xfId="0" applyNumberFormat="1" applyFont="1" applyFill="1" applyBorder="1"/>
    <xf numFmtId="4" fontId="16" fillId="0" borderId="47" xfId="0" applyNumberFormat="1" applyFont="1" applyBorder="1"/>
    <xf numFmtId="4" fontId="2" fillId="0" borderId="47" xfId="0" applyNumberFormat="1" applyFont="1" applyBorder="1"/>
    <xf numFmtId="0" fontId="2" fillId="6" borderId="0" xfId="0" applyFont="1" applyFill="1"/>
    <xf numFmtId="4" fontId="2" fillId="6" borderId="49" xfId="0" applyNumberFormat="1" applyFont="1" applyFill="1" applyBorder="1"/>
    <xf numFmtId="4" fontId="2" fillId="6" borderId="50" xfId="0" applyNumberFormat="1" applyFont="1" applyFill="1" applyBorder="1"/>
    <xf numFmtId="4" fontId="2" fillId="6" borderId="51" xfId="0" applyNumberFormat="1" applyFont="1" applyFill="1" applyBorder="1"/>
    <xf numFmtId="3" fontId="6" fillId="6" borderId="52" xfId="0" applyNumberFormat="1" applyFont="1" applyFill="1" applyBorder="1"/>
    <xf numFmtId="3" fontId="8" fillId="6" borderId="53" xfId="0" applyNumberFormat="1" applyFont="1" applyFill="1" applyBorder="1"/>
    <xf numFmtId="3" fontId="10" fillId="6" borderId="53" xfId="0" applyNumberFormat="1" applyFont="1" applyFill="1" applyBorder="1"/>
    <xf numFmtId="3" fontId="10" fillId="6" borderId="54" xfId="0" applyNumberFormat="1" applyFont="1" applyFill="1" applyBorder="1"/>
    <xf numFmtId="4" fontId="15" fillId="6" borderId="53" xfId="0" applyNumberFormat="1" applyFont="1" applyFill="1" applyBorder="1"/>
    <xf numFmtId="4" fontId="2" fillId="0" borderId="55" xfId="0" applyNumberFormat="1" applyFont="1" applyBorder="1"/>
    <xf numFmtId="4" fontId="2" fillId="0" borderId="56" xfId="0" applyNumberFormat="1" applyFont="1" applyBorder="1"/>
    <xf numFmtId="4" fontId="2" fillId="0" borderId="57" xfId="0" applyNumberFormat="1" applyFont="1" applyBorder="1"/>
    <xf numFmtId="3" fontId="15" fillId="0" borderId="44" xfId="0" applyNumberFormat="1" applyFont="1" applyBorder="1"/>
    <xf numFmtId="3" fontId="6" fillId="0" borderId="58" xfId="0" applyNumberFormat="1" applyFont="1" applyBorder="1"/>
    <xf numFmtId="3" fontId="2" fillId="0" borderId="59" xfId="0" applyNumberFormat="1" applyFont="1" applyBorder="1"/>
    <xf numFmtId="3" fontId="3" fillId="0" borderId="59" xfId="0" applyNumberFormat="1" applyFont="1" applyBorder="1"/>
    <xf numFmtId="3" fontId="3" fillId="0" borderId="60" xfId="0" applyNumberFormat="1" applyFont="1" applyBorder="1"/>
    <xf numFmtId="4" fontId="15" fillId="0" borderId="59" xfId="0" applyNumberFormat="1" applyFont="1" applyBorder="1"/>
    <xf numFmtId="4" fontId="2" fillId="0" borderId="61" xfId="0" applyNumberFormat="1" applyFont="1" applyBorder="1"/>
    <xf numFmtId="4" fontId="2" fillId="0" borderId="62" xfId="0" applyNumberFormat="1" applyFont="1" applyBorder="1"/>
    <xf numFmtId="4" fontId="2" fillId="0" borderId="63" xfId="0" applyNumberFormat="1" applyFont="1" applyBorder="1"/>
    <xf numFmtId="3" fontId="6" fillId="0" borderId="64" xfId="0" applyNumberFormat="1" applyFont="1" applyBorder="1"/>
    <xf numFmtId="3" fontId="2" fillId="0" borderId="65" xfId="0" applyNumberFormat="1" applyFont="1" applyBorder="1"/>
    <xf numFmtId="3" fontId="3" fillId="0" borderId="65" xfId="0" applyNumberFormat="1" applyFont="1" applyBorder="1"/>
    <xf numFmtId="3" fontId="3" fillId="0" borderId="66" xfId="0" applyNumberFormat="1" applyFont="1" applyBorder="1"/>
    <xf numFmtId="4" fontId="2" fillId="0" borderId="32" xfId="0" applyNumberFormat="1" applyFont="1" applyBorder="1"/>
    <xf numFmtId="4" fontId="2" fillId="0" borderId="33" xfId="0" applyNumberFormat="1" applyFont="1" applyBorder="1"/>
    <xf numFmtId="4" fontId="2" fillId="0" borderId="34" xfId="0" applyNumberFormat="1" applyFont="1" applyBorder="1"/>
    <xf numFmtId="3" fontId="2" fillId="0" borderId="67" xfId="0" applyNumberFormat="1" applyFont="1" applyBorder="1"/>
    <xf numFmtId="3" fontId="16" fillId="0" borderId="67" xfId="0" applyNumberFormat="1" applyFont="1" applyBorder="1"/>
    <xf numFmtId="3" fontId="6" fillId="0" borderId="68" xfId="0" applyNumberFormat="1" applyFont="1" applyBorder="1"/>
    <xf numFmtId="3" fontId="2" fillId="0" borderId="35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4" fontId="15" fillId="0" borderId="35" xfId="0" applyNumberFormat="1" applyFont="1" applyBorder="1"/>
    <xf numFmtId="0" fontId="2" fillId="0" borderId="69" xfId="0" applyFont="1" applyBorder="1" applyAlignment="1">
      <alignment horizontal="center"/>
    </xf>
    <xf numFmtId="0" fontId="2" fillId="0" borderId="29" xfId="0" applyFont="1" applyBorder="1" applyAlignment="1">
      <alignment wrapText="1"/>
    </xf>
    <xf numFmtId="4" fontId="2" fillId="6" borderId="14" xfId="0" applyNumberFormat="1" applyFont="1" applyFill="1" applyBorder="1"/>
    <xf numFmtId="3" fontId="15" fillId="0" borderId="70" xfId="0" applyNumberFormat="1" applyFont="1" applyBorder="1"/>
    <xf numFmtId="3" fontId="6" fillId="0" borderId="71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4" fontId="15" fillId="0" borderId="15" xfId="0" applyNumberFormat="1" applyFont="1" applyBorder="1"/>
    <xf numFmtId="0" fontId="8" fillId="10" borderId="72" xfId="0" applyFont="1" applyFill="1" applyBorder="1" applyAlignment="1">
      <alignment horizontal="center"/>
    </xf>
    <xf numFmtId="0" fontId="8" fillId="10" borderId="73" xfId="0" applyFont="1" applyFill="1" applyBorder="1" applyAlignment="1">
      <alignment wrapText="1"/>
    </xf>
    <xf numFmtId="4" fontId="8" fillId="10" borderId="74" xfId="0" applyNumberFormat="1" applyFont="1" applyFill="1" applyBorder="1"/>
    <xf numFmtId="4" fontId="8" fillId="10" borderId="75" xfId="0" applyNumberFormat="1" applyFont="1" applyFill="1" applyBorder="1"/>
    <xf numFmtId="4" fontId="8" fillId="10" borderId="76" xfId="0" applyNumberFormat="1" applyFont="1" applyFill="1" applyBorder="1"/>
    <xf numFmtId="4" fontId="12" fillId="10" borderId="76" xfId="0" applyNumberFormat="1" applyFont="1" applyFill="1" applyBorder="1"/>
    <xf numFmtId="3" fontId="8" fillId="10" borderId="77" xfId="0" applyNumberFormat="1" applyFont="1" applyFill="1" applyBorder="1"/>
    <xf numFmtId="3" fontId="14" fillId="10" borderId="78" xfId="0" applyNumberFormat="1" applyFont="1" applyFill="1" applyBorder="1"/>
    <xf numFmtId="3" fontId="14" fillId="10" borderId="79" xfId="0" applyNumberFormat="1" applyFont="1" applyFill="1" applyBorder="1"/>
    <xf numFmtId="3" fontId="14" fillId="10" borderId="80" xfId="0" applyNumberFormat="1" applyFont="1" applyFill="1" applyBorder="1"/>
    <xf numFmtId="3" fontId="8" fillId="7" borderId="81" xfId="0" applyNumberFormat="1" applyFont="1" applyFill="1" applyBorder="1"/>
    <xf numFmtId="4" fontId="14" fillId="10" borderId="79" xfId="0" applyNumberFormat="1" applyFont="1" applyFill="1" applyBorder="1"/>
    <xf numFmtId="4" fontId="12" fillId="10" borderId="79" xfId="0" applyNumberFormat="1" applyFont="1" applyFill="1" applyBorder="1"/>
    <xf numFmtId="4" fontId="13" fillId="10" borderId="79" xfId="0" applyNumberFormat="1" applyFont="1" applyFill="1" applyBorder="1"/>
    <xf numFmtId="4" fontId="8" fillId="10" borderId="79" xfId="0" applyNumberFormat="1" applyFont="1" applyFill="1" applyBorder="1"/>
    <xf numFmtId="4" fontId="8" fillId="10" borderId="82" xfId="0" applyNumberFormat="1" applyFont="1" applyFill="1" applyBorder="1"/>
    <xf numFmtId="1" fontId="2" fillId="9" borderId="6" xfId="0" quotePrefix="1" applyNumberFormat="1" applyFont="1" applyFill="1" applyBorder="1" applyAlignment="1">
      <alignment horizontal="center"/>
    </xf>
    <xf numFmtId="0" fontId="8" fillId="9" borderId="83" xfId="0" applyFont="1" applyFill="1" applyBorder="1" applyAlignment="1">
      <alignment wrapText="1"/>
    </xf>
    <xf numFmtId="4" fontId="8" fillId="9" borderId="84" xfId="0" applyNumberFormat="1" applyFont="1" applyFill="1" applyBorder="1"/>
    <xf numFmtId="4" fontId="8" fillId="9" borderId="85" xfId="0" applyNumberFormat="1" applyFont="1" applyFill="1" applyBorder="1"/>
    <xf numFmtId="4" fontId="8" fillId="9" borderId="86" xfId="0" applyNumberFormat="1" applyFont="1" applyFill="1" applyBorder="1"/>
    <xf numFmtId="4" fontId="12" fillId="9" borderId="86" xfId="0" applyNumberFormat="1" applyFont="1" applyFill="1" applyBorder="1"/>
    <xf numFmtId="3" fontId="8" fillId="9" borderId="7" xfId="0" applyNumberFormat="1" applyFont="1" applyFill="1" applyBorder="1"/>
    <xf numFmtId="3" fontId="13" fillId="9" borderId="7" xfId="0" applyNumberFormat="1" applyFont="1" applyFill="1" applyBorder="1"/>
    <xf numFmtId="3" fontId="14" fillId="9" borderId="7" xfId="0" applyNumberFormat="1" applyFont="1" applyFill="1" applyBorder="1"/>
    <xf numFmtId="3" fontId="8" fillId="7" borderId="8" xfId="0" applyNumberFormat="1" applyFont="1" applyFill="1" applyBorder="1"/>
    <xf numFmtId="4" fontId="14" fillId="9" borderId="7" xfId="0" applyNumberFormat="1" applyFont="1" applyFill="1" applyBorder="1"/>
    <xf numFmtId="4" fontId="12" fillId="9" borderId="7" xfId="0" applyNumberFormat="1" applyFont="1" applyFill="1" applyBorder="1"/>
    <xf numFmtId="4" fontId="13" fillId="9" borderId="7" xfId="0" applyNumberFormat="1" applyFont="1" applyFill="1" applyBorder="1"/>
    <xf numFmtId="4" fontId="8" fillId="9" borderId="7" xfId="0" applyNumberFormat="1" applyFont="1" applyFill="1" applyBorder="1"/>
    <xf numFmtId="4" fontId="8" fillId="9" borderId="8" xfId="0" applyNumberFormat="1" applyFont="1" applyFill="1" applyBorder="1"/>
    <xf numFmtId="1" fontId="2" fillId="0" borderId="15" xfId="0" quotePrefix="1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3" fontId="10" fillId="0" borderId="15" xfId="0" applyNumberFormat="1" applyFont="1" applyBorder="1"/>
    <xf numFmtId="4" fontId="8" fillId="0" borderId="15" xfId="0" applyNumberFormat="1" applyFont="1" applyBorder="1"/>
    <xf numFmtId="4" fontId="8" fillId="0" borderId="0" xfId="0" applyNumberFormat="1" applyFont="1"/>
    <xf numFmtId="3" fontId="11" fillId="11" borderId="87" xfId="0" applyNumberFormat="1" applyFont="1" applyFill="1" applyBorder="1"/>
    <xf numFmtId="3" fontId="8" fillId="0" borderId="15" xfId="0" applyNumberFormat="1" applyFont="1" applyBorder="1"/>
    <xf numFmtId="3" fontId="20" fillId="0" borderId="15" xfId="0" applyNumberFormat="1" applyFont="1" applyBorder="1"/>
    <xf numFmtId="3" fontId="14" fillId="0" borderId="15" xfId="0" applyNumberFormat="1" applyFont="1" applyBorder="1"/>
    <xf numFmtId="3" fontId="8" fillId="12" borderId="88" xfId="0" applyNumberFormat="1" applyFont="1" applyFill="1" applyBorder="1"/>
    <xf numFmtId="0" fontId="2" fillId="0" borderId="18" xfId="0" applyFont="1" applyBorder="1"/>
    <xf numFmtId="0" fontId="9" fillId="0" borderId="18" xfId="0" applyFont="1" applyBorder="1"/>
    <xf numFmtId="3" fontId="11" fillId="13" borderId="23" xfId="0" applyNumberFormat="1" applyFont="1" applyFill="1" applyBorder="1"/>
    <xf numFmtId="3" fontId="9" fillId="0" borderId="18" xfId="0" applyNumberFormat="1" applyFont="1" applyBorder="1"/>
    <xf numFmtId="3" fontId="8" fillId="11" borderId="89" xfId="0" applyNumberFormat="1" applyFont="1" applyFill="1" applyBorder="1"/>
    <xf numFmtId="3" fontId="11" fillId="11" borderId="90" xfId="0" applyNumberFormat="1" applyFont="1" applyFill="1" applyBorder="1"/>
    <xf numFmtId="0" fontId="21" fillId="0" borderId="18" xfId="0" applyFont="1" applyBorder="1"/>
    <xf numFmtId="3" fontId="4" fillId="0" borderId="18" xfId="0" applyNumberFormat="1" applyFont="1" applyBorder="1"/>
    <xf numFmtId="3" fontId="5" fillId="0" borderId="18" xfId="0" applyNumberFormat="1" applyFont="1" applyBorder="1"/>
    <xf numFmtId="3" fontId="7" fillId="0" borderId="18" xfId="0" applyNumberFormat="1" applyFont="1" applyBorder="1"/>
    <xf numFmtId="0" fontId="8" fillId="0" borderId="18" xfId="0" applyFont="1" applyBorder="1"/>
    <xf numFmtId="3" fontId="11" fillId="0" borderId="18" xfId="0" applyNumberFormat="1" applyFont="1" applyBorder="1"/>
    <xf numFmtId="3" fontId="20" fillId="0" borderId="18" xfId="0" applyNumberFormat="1" applyFont="1" applyBorder="1"/>
    <xf numFmtId="4" fontId="9" fillId="0" borderId="18" xfId="0" applyNumberFormat="1" applyFont="1" applyBorder="1"/>
    <xf numFmtId="0" fontId="8" fillId="0" borderId="18" xfId="0" quotePrefix="1" applyFont="1" applyBorder="1" applyAlignment="1">
      <alignment horizontal="center" vertical="justify" wrapText="1"/>
    </xf>
    <xf numFmtId="0" fontId="8" fillId="0" borderId="18" xfId="0" applyFont="1" applyBorder="1" applyAlignment="1">
      <alignment horizontal="center" wrapText="1"/>
    </xf>
    <xf numFmtId="3" fontId="10" fillId="0" borderId="18" xfId="0" applyNumberFormat="1" applyFont="1" applyBorder="1" applyAlignment="1">
      <alignment horizontal="center" wrapText="1"/>
    </xf>
    <xf numFmtId="4" fontId="8" fillId="0" borderId="18" xfId="0" applyNumberFormat="1" applyFont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20" fillId="0" borderId="18" xfId="0" applyNumberFormat="1" applyFont="1" applyBorder="1" applyAlignment="1">
      <alignment horizontal="center" wrapText="1"/>
    </xf>
    <xf numFmtId="3" fontId="14" fillId="0" borderId="18" xfId="0" applyNumberFormat="1" applyFont="1" applyBorder="1" applyAlignment="1">
      <alignment horizontal="center" wrapText="1"/>
    </xf>
    <xf numFmtId="0" fontId="22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4" fontId="8" fillId="0" borderId="18" xfId="0" quotePrefix="1" applyNumberFormat="1" applyFont="1" applyBorder="1" applyAlignment="1">
      <alignment horizontal="center"/>
    </xf>
    <xf numFmtId="3" fontId="20" fillId="0" borderId="18" xfId="0" quotePrefix="1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4" fontId="3" fillId="0" borderId="18" xfId="0" applyNumberFormat="1" applyFont="1" applyBorder="1"/>
    <xf numFmtId="0" fontId="17" fillId="0" borderId="18" xfId="0" applyFont="1" applyBorder="1" applyAlignment="1">
      <alignment horizontal="center"/>
    </xf>
    <xf numFmtId="0" fontId="17" fillId="0" borderId="18" xfId="0" applyFont="1" applyBorder="1" applyAlignment="1">
      <alignment wrapText="1"/>
    </xf>
    <xf numFmtId="4" fontId="10" fillId="0" borderId="18" xfId="0" applyNumberFormat="1" applyFont="1" applyBorder="1"/>
    <xf numFmtId="0" fontId="2" fillId="0" borderId="18" xfId="0" applyFont="1" applyBorder="1" applyAlignment="1">
      <alignment horizontal="left" wrapText="1"/>
    </xf>
    <xf numFmtId="3" fontId="2" fillId="0" borderId="18" xfId="1" applyNumberFormat="1" applyFont="1" applyBorder="1" applyAlignment="1">
      <alignment horizontal="right"/>
    </xf>
    <xf numFmtId="3" fontId="3" fillId="0" borderId="18" xfId="1" applyNumberFormat="1" applyFont="1" applyBorder="1" applyAlignment="1">
      <alignment horizontal="right"/>
    </xf>
    <xf numFmtId="0" fontId="17" fillId="0" borderId="18" xfId="0" applyFont="1" applyBorder="1"/>
    <xf numFmtId="0" fontId="17" fillId="0" borderId="0" xfId="0" applyFont="1"/>
    <xf numFmtId="4" fontId="1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0" fontId="18" fillId="0" borderId="0" xfId="0" applyFont="1"/>
    <xf numFmtId="4" fontId="23" fillId="0" borderId="0" xfId="0" applyNumberFormat="1" applyFont="1"/>
    <xf numFmtId="4" fontId="18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</cellXfs>
  <cellStyles count="2">
    <cellStyle name="Comma_Sheet3" xfId="1" xr:uid="{470EDEF7-1DE4-4B39-BB95-FC7F297D789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D68E-399D-4D14-A69E-1AC0D0EAE771}">
  <sheetPr>
    <tabColor rgb="FFFF0000"/>
    <pageSetUpPr fitToPage="1"/>
  </sheetPr>
  <dimension ref="A1:W119"/>
  <sheetViews>
    <sheetView tabSelected="1" topLeftCell="A3" zoomScale="130" zoomScaleNormal="130" workbookViewId="0">
      <selection activeCell="F9" sqref="F9"/>
    </sheetView>
  </sheetViews>
  <sheetFormatPr defaultRowHeight="11.25" x14ac:dyDescent="0.2"/>
  <cols>
    <col min="1" max="1" width="5.85546875" style="1" customWidth="1"/>
    <col min="2" max="2" width="25" style="1" customWidth="1"/>
    <col min="3" max="3" width="9.85546875" style="2" hidden="1" customWidth="1"/>
    <col min="4" max="6" width="10.5703125" style="3" customWidth="1"/>
    <col min="7" max="7" width="10" style="4" bestFit="1" customWidth="1"/>
    <col min="8" max="8" width="9.85546875" style="5" customWidth="1"/>
    <col min="9" max="9" width="8.140625" style="5" customWidth="1"/>
    <col min="10" max="11" width="8.42578125" style="5" customWidth="1"/>
    <col min="12" max="12" width="9" style="6" customWidth="1"/>
    <col min="13" max="13" width="9" style="7" customWidth="1"/>
    <col min="14" max="14" width="9.42578125" style="5" hidden="1" customWidth="1"/>
    <col min="15" max="16" width="9.28515625" style="8" hidden="1" customWidth="1"/>
    <col min="17" max="17" width="9.85546875" style="3" customWidth="1"/>
    <col min="18" max="19" width="10.5703125" style="3" customWidth="1"/>
    <col min="20" max="20" width="10" style="3" customWidth="1"/>
    <col min="21" max="21" width="10.5703125" style="3" customWidth="1"/>
    <col min="22" max="22" width="9.28515625" style="3" customWidth="1"/>
    <col min="23" max="23" width="8.5703125" style="3" customWidth="1"/>
    <col min="24" max="258" width="9.140625" style="1"/>
    <col min="259" max="259" width="5.85546875" style="1" customWidth="1"/>
    <col min="260" max="260" width="25" style="1" customWidth="1"/>
    <col min="261" max="261" width="10" style="1" bestFit="1" customWidth="1"/>
    <col min="262" max="262" width="9.85546875" style="1" customWidth="1"/>
    <col min="263" max="263" width="10" style="1" bestFit="1" customWidth="1"/>
    <col min="264" max="264" width="9.85546875" style="1" customWidth="1"/>
    <col min="265" max="265" width="8.140625" style="1" customWidth="1"/>
    <col min="266" max="267" width="8.42578125" style="1" customWidth="1"/>
    <col min="268" max="269" width="9" style="1" customWidth="1"/>
    <col min="270" max="272" width="0" style="1" hidden="1" customWidth="1"/>
    <col min="273" max="273" width="9.85546875" style="1" customWidth="1"/>
    <col min="274" max="275" width="10.5703125" style="1" customWidth="1"/>
    <col min="276" max="276" width="10" style="1" customWidth="1"/>
    <col min="277" max="277" width="10.5703125" style="1" customWidth="1"/>
    <col min="278" max="278" width="9.28515625" style="1" customWidth="1"/>
    <col min="279" max="279" width="8.5703125" style="1" customWidth="1"/>
    <col min="280" max="514" width="9.140625" style="1"/>
    <col min="515" max="515" width="5.85546875" style="1" customWidth="1"/>
    <col min="516" max="516" width="25" style="1" customWidth="1"/>
    <col min="517" max="517" width="10" style="1" bestFit="1" customWidth="1"/>
    <col min="518" max="518" width="9.85546875" style="1" customWidth="1"/>
    <col min="519" max="519" width="10" style="1" bestFit="1" customWidth="1"/>
    <col min="520" max="520" width="9.85546875" style="1" customWidth="1"/>
    <col min="521" max="521" width="8.140625" style="1" customWidth="1"/>
    <col min="522" max="523" width="8.42578125" style="1" customWidth="1"/>
    <col min="524" max="525" width="9" style="1" customWidth="1"/>
    <col min="526" max="528" width="0" style="1" hidden="1" customWidth="1"/>
    <col min="529" max="529" width="9.85546875" style="1" customWidth="1"/>
    <col min="530" max="531" width="10.5703125" style="1" customWidth="1"/>
    <col min="532" max="532" width="10" style="1" customWidth="1"/>
    <col min="533" max="533" width="10.5703125" style="1" customWidth="1"/>
    <col min="534" max="534" width="9.28515625" style="1" customWidth="1"/>
    <col min="535" max="535" width="8.5703125" style="1" customWidth="1"/>
    <col min="536" max="770" width="9.140625" style="1"/>
    <col min="771" max="771" width="5.85546875" style="1" customWidth="1"/>
    <col min="772" max="772" width="25" style="1" customWidth="1"/>
    <col min="773" max="773" width="10" style="1" bestFit="1" customWidth="1"/>
    <col min="774" max="774" width="9.85546875" style="1" customWidth="1"/>
    <col min="775" max="775" width="10" style="1" bestFit="1" customWidth="1"/>
    <col min="776" max="776" width="9.85546875" style="1" customWidth="1"/>
    <col min="777" max="777" width="8.140625" style="1" customWidth="1"/>
    <col min="778" max="779" width="8.42578125" style="1" customWidth="1"/>
    <col min="780" max="781" width="9" style="1" customWidth="1"/>
    <col min="782" max="784" width="0" style="1" hidden="1" customWidth="1"/>
    <col min="785" max="785" width="9.85546875" style="1" customWidth="1"/>
    <col min="786" max="787" width="10.5703125" style="1" customWidth="1"/>
    <col min="788" max="788" width="10" style="1" customWidth="1"/>
    <col min="789" max="789" width="10.5703125" style="1" customWidth="1"/>
    <col min="790" max="790" width="9.28515625" style="1" customWidth="1"/>
    <col min="791" max="791" width="8.5703125" style="1" customWidth="1"/>
    <col min="792" max="1026" width="9.140625" style="1"/>
    <col min="1027" max="1027" width="5.85546875" style="1" customWidth="1"/>
    <col min="1028" max="1028" width="25" style="1" customWidth="1"/>
    <col min="1029" max="1029" width="10" style="1" bestFit="1" customWidth="1"/>
    <col min="1030" max="1030" width="9.85546875" style="1" customWidth="1"/>
    <col min="1031" max="1031" width="10" style="1" bestFit="1" customWidth="1"/>
    <col min="1032" max="1032" width="9.85546875" style="1" customWidth="1"/>
    <col min="1033" max="1033" width="8.140625" style="1" customWidth="1"/>
    <col min="1034" max="1035" width="8.42578125" style="1" customWidth="1"/>
    <col min="1036" max="1037" width="9" style="1" customWidth="1"/>
    <col min="1038" max="1040" width="0" style="1" hidden="1" customWidth="1"/>
    <col min="1041" max="1041" width="9.85546875" style="1" customWidth="1"/>
    <col min="1042" max="1043" width="10.5703125" style="1" customWidth="1"/>
    <col min="1044" max="1044" width="10" style="1" customWidth="1"/>
    <col min="1045" max="1045" width="10.5703125" style="1" customWidth="1"/>
    <col min="1046" max="1046" width="9.28515625" style="1" customWidth="1"/>
    <col min="1047" max="1047" width="8.5703125" style="1" customWidth="1"/>
    <col min="1048" max="1282" width="9.140625" style="1"/>
    <col min="1283" max="1283" width="5.85546875" style="1" customWidth="1"/>
    <col min="1284" max="1284" width="25" style="1" customWidth="1"/>
    <col min="1285" max="1285" width="10" style="1" bestFit="1" customWidth="1"/>
    <col min="1286" max="1286" width="9.85546875" style="1" customWidth="1"/>
    <col min="1287" max="1287" width="10" style="1" bestFit="1" customWidth="1"/>
    <col min="1288" max="1288" width="9.85546875" style="1" customWidth="1"/>
    <col min="1289" max="1289" width="8.140625" style="1" customWidth="1"/>
    <col min="1290" max="1291" width="8.42578125" style="1" customWidth="1"/>
    <col min="1292" max="1293" width="9" style="1" customWidth="1"/>
    <col min="1294" max="1296" width="0" style="1" hidden="1" customWidth="1"/>
    <col min="1297" max="1297" width="9.85546875" style="1" customWidth="1"/>
    <col min="1298" max="1299" width="10.5703125" style="1" customWidth="1"/>
    <col min="1300" max="1300" width="10" style="1" customWidth="1"/>
    <col min="1301" max="1301" width="10.5703125" style="1" customWidth="1"/>
    <col min="1302" max="1302" width="9.28515625" style="1" customWidth="1"/>
    <col min="1303" max="1303" width="8.5703125" style="1" customWidth="1"/>
    <col min="1304" max="1538" width="9.140625" style="1"/>
    <col min="1539" max="1539" width="5.85546875" style="1" customWidth="1"/>
    <col min="1540" max="1540" width="25" style="1" customWidth="1"/>
    <col min="1541" max="1541" width="10" style="1" bestFit="1" customWidth="1"/>
    <col min="1542" max="1542" width="9.85546875" style="1" customWidth="1"/>
    <col min="1543" max="1543" width="10" style="1" bestFit="1" customWidth="1"/>
    <col min="1544" max="1544" width="9.85546875" style="1" customWidth="1"/>
    <col min="1545" max="1545" width="8.140625" style="1" customWidth="1"/>
    <col min="1546" max="1547" width="8.42578125" style="1" customWidth="1"/>
    <col min="1548" max="1549" width="9" style="1" customWidth="1"/>
    <col min="1550" max="1552" width="0" style="1" hidden="1" customWidth="1"/>
    <col min="1553" max="1553" width="9.85546875" style="1" customWidth="1"/>
    <col min="1554" max="1555" width="10.5703125" style="1" customWidth="1"/>
    <col min="1556" max="1556" width="10" style="1" customWidth="1"/>
    <col min="1557" max="1557" width="10.5703125" style="1" customWidth="1"/>
    <col min="1558" max="1558" width="9.28515625" style="1" customWidth="1"/>
    <col min="1559" max="1559" width="8.5703125" style="1" customWidth="1"/>
    <col min="1560" max="1794" width="9.140625" style="1"/>
    <col min="1795" max="1795" width="5.85546875" style="1" customWidth="1"/>
    <col min="1796" max="1796" width="25" style="1" customWidth="1"/>
    <col min="1797" max="1797" width="10" style="1" bestFit="1" customWidth="1"/>
    <col min="1798" max="1798" width="9.85546875" style="1" customWidth="1"/>
    <col min="1799" max="1799" width="10" style="1" bestFit="1" customWidth="1"/>
    <col min="1800" max="1800" width="9.85546875" style="1" customWidth="1"/>
    <col min="1801" max="1801" width="8.140625" style="1" customWidth="1"/>
    <col min="1802" max="1803" width="8.42578125" style="1" customWidth="1"/>
    <col min="1804" max="1805" width="9" style="1" customWidth="1"/>
    <col min="1806" max="1808" width="0" style="1" hidden="1" customWidth="1"/>
    <col min="1809" max="1809" width="9.85546875" style="1" customWidth="1"/>
    <col min="1810" max="1811" width="10.5703125" style="1" customWidth="1"/>
    <col min="1812" max="1812" width="10" style="1" customWidth="1"/>
    <col min="1813" max="1813" width="10.5703125" style="1" customWidth="1"/>
    <col min="1814" max="1814" width="9.28515625" style="1" customWidth="1"/>
    <col min="1815" max="1815" width="8.5703125" style="1" customWidth="1"/>
    <col min="1816" max="2050" width="9.140625" style="1"/>
    <col min="2051" max="2051" width="5.85546875" style="1" customWidth="1"/>
    <col min="2052" max="2052" width="25" style="1" customWidth="1"/>
    <col min="2053" max="2053" width="10" style="1" bestFit="1" customWidth="1"/>
    <col min="2054" max="2054" width="9.85546875" style="1" customWidth="1"/>
    <col min="2055" max="2055" width="10" style="1" bestFit="1" customWidth="1"/>
    <col min="2056" max="2056" width="9.85546875" style="1" customWidth="1"/>
    <col min="2057" max="2057" width="8.140625" style="1" customWidth="1"/>
    <col min="2058" max="2059" width="8.42578125" style="1" customWidth="1"/>
    <col min="2060" max="2061" width="9" style="1" customWidth="1"/>
    <col min="2062" max="2064" width="0" style="1" hidden="1" customWidth="1"/>
    <col min="2065" max="2065" width="9.85546875" style="1" customWidth="1"/>
    <col min="2066" max="2067" width="10.5703125" style="1" customWidth="1"/>
    <col min="2068" max="2068" width="10" style="1" customWidth="1"/>
    <col min="2069" max="2069" width="10.5703125" style="1" customWidth="1"/>
    <col min="2070" max="2070" width="9.28515625" style="1" customWidth="1"/>
    <col min="2071" max="2071" width="8.5703125" style="1" customWidth="1"/>
    <col min="2072" max="2306" width="9.140625" style="1"/>
    <col min="2307" max="2307" width="5.85546875" style="1" customWidth="1"/>
    <col min="2308" max="2308" width="25" style="1" customWidth="1"/>
    <col min="2309" max="2309" width="10" style="1" bestFit="1" customWidth="1"/>
    <col min="2310" max="2310" width="9.85546875" style="1" customWidth="1"/>
    <col min="2311" max="2311" width="10" style="1" bestFit="1" customWidth="1"/>
    <col min="2312" max="2312" width="9.85546875" style="1" customWidth="1"/>
    <col min="2313" max="2313" width="8.140625" style="1" customWidth="1"/>
    <col min="2314" max="2315" width="8.42578125" style="1" customWidth="1"/>
    <col min="2316" max="2317" width="9" style="1" customWidth="1"/>
    <col min="2318" max="2320" width="0" style="1" hidden="1" customWidth="1"/>
    <col min="2321" max="2321" width="9.85546875" style="1" customWidth="1"/>
    <col min="2322" max="2323" width="10.5703125" style="1" customWidth="1"/>
    <col min="2324" max="2324" width="10" style="1" customWidth="1"/>
    <col min="2325" max="2325" width="10.5703125" style="1" customWidth="1"/>
    <col min="2326" max="2326" width="9.28515625" style="1" customWidth="1"/>
    <col min="2327" max="2327" width="8.5703125" style="1" customWidth="1"/>
    <col min="2328" max="2562" width="9.140625" style="1"/>
    <col min="2563" max="2563" width="5.85546875" style="1" customWidth="1"/>
    <col min="2564" max="2564" width="25" style="1" customWidth="1"/>
    <col min="2565" max="2565" width="10" style="1" bestFit="1" customWidth="1"/>
    <col min="2566" max="2566" width="9.85546875" style="1" customWidth="1"/>
    <col min="2567" max="2567" width="10" style="1" bestFit="1" customWidth="1"/>
    <col min="2568" max="2568" width="9.85546875" style="1" customWidth="1"/>
    <col min="2569" max="2569" width="8.140625" style="1" customWidth="1"/>
    <col min="2570" max="2571" width="8.42578125" style="1" customWidth="1"/>
    <col min="2572" max="2573" width="9" style="1" customWidth="1"/>
    <col min="2574" max="2576" width="0" style="1" hidden="1" customWidth="1"/>
    <col min="2577" max="2577" width="9.85546875" style="1" customWidth="1"/>
    <col min="2578" max="2579" width="10.5703125" style="1" customWidth="1"/>
    <col min="2580" max="2580" width="10" style="1" customWidth="1"/>
    <col min="2581" max="2581" width="10.5703125" style="1" customWidth="1"/>
    <col min="2582" max="2582" width="9.28515625" style="1" customWidth="1"/>
    <col min="2583" max="2583" width="8.5703125" style="1" customWidth="1"/>
    <col min="2584" max="2818" width="9.140625" style="1"/>
    <col min="2819" max="2819" width="5.85546875" style="1" customWidth="1"/>
    <col min="2820" max="2820" width="25" style="1" customWidth="1"/>
    <col min="2821" max="2821" width="10" style="1" bestFit="1" customWidth="1"/>
    <col min="2822" max="2822" width="9.85546875" style="1" customWidth="1"/>
    <col min="2823" max="2823" width="10" style="1" bestFit="1" customWidth="1"/>
    <col min="2824" max="2824" width="9.85546875" style="1" customWidth="1"/>
    <col min="2825" max="2825" width="8.140625" style="1" customWidth="1"/>
    <col min="2826" max="2827" width="8.42578125" style="1" customWidth="1"/>
    <col min="2828" max="2829" width="9" style="1" customWidth="1"/>
    <col min="2830" max="2832" width="0" style="1" hidden="1" customWidth="1"/>
    <col min="2833" max="2833" width="9.85546875" style="1" customWidth="1"/>
    <col min="2834" max="2835" width="10.5703125" style="1" customWidth="1"/>
    <col min="2836" max="2836" width="10" style="1" customWidth="1"/>
    <col min="2837" max="2837" width="10.5703125" style="1" customWidth="1"/>
    <col min="2838" max="2838" width="9.28515625" style="1" customWidth="1"/>
    <col min="2839" max="2839" width="8.5703125" style="1" customWidth="1"/>
    <col min="2840" max="3074" width="9.140625" style="1"/>
    <col min="3075" max="3075" width="5.85546875" style="1" customWidth="1"/>
    <col min="3076" max="3076" width="25" style="1" customWidth="1"/>
    <col min="3077" max="3077" width="10" style="1" bestFit="1" customWidth="1"/>
    <col min="3078" max="3078" width="9.85546875" style="1" customWidth="1"/>
    <col min="3079" max="3079" width="10" style="1" bestFit="1" customWidth="1"/>
    <col min="3080" max="3080" width="9.85546875" style="1" customWidth="1"/>
    <col min="3081" max="3081" width="8.140625" style="1" customWidth="1"/>
    <col min="3082" max="3083" width="8.42578125" style="1" customWidth="1"/>
    <col min="3084" max="3085" width="9" style="1" customWidth="1"/>
    <col min="3086" max="3088" width="0" style="1" hidden="1" customWidth="1"/>
    <col min="3089" max="3089" width="9.85546875" style="1" customWidth="1"/>
    <col min="3090" max="3091" width="10.5703125" style="1" customWidth="1"/>
    <col min="3092" max="3092" width="10" style="1" customWidth="1"/>
    <col min="3093" max="3093" width="10.5703125" style="1" customWidth="1"/>
    <col min="3094" max="3094" width="9.28515625" style="1" customWidth="1"/>
    <col min="3095" max="3095" width="8.5703125" style="1" customWidth="1"/>
    <col min="3096" max="3330" width="9.140625" style="1"/>
    <col min="3331" max="3331" width="5.85546875" style="1" customWidth="1"/>
    <col min="3332" max="3332" width="25" style="1" customWidth="1"/>
    <col min="3333" max="3333" width="10" style="1" bestFit="1" customWidth="1"/>
    <col min="3334" max="3334" width="9.85546875" style="1" customWidth="1"/>
    <col min="3335" max="3335" width="10" style="1" bestFit="1" customWidth="1"/>
    <col min="3336" max="3336" width="9.85546875" style="1" customWidth="1"/>
    <col min="3337" max="3337" width="8.140625" style="1" customWidth="1"/>
    <col min="3338" max="3339" width="8.42578125" style="1" customWidth="1"/>
    <col min="3340" max="3341" width="9" style="1" customWidth="1"/>
    <col min="3342" max="3344" width="0" style="1" hidden="1" customWidth="1"/>
    <col min="3345" max="3345" width="9.85546875" style="1" customWidth="1"/>
    <col min="3346" max="3347" width="10.5703125" style="1" customWidth="1"/>
    <col min="3348" max="3348" width="10" style="1" customWidth="1"/>
    <col min="3349" max="3349" width="10.5703125" style="1" customWidth="1"/>
    <col min="3350" max="3350" width="9.28515625" style="1" customWidth="1"/>
    <col min="3351" max="3351" width="8.5703125" style="1" customWidth="1"/>
    <col min="3352" max="3586" width="9.140625" style="1"/>
    <col min="3587" max="3587" width="5.85546875" style="1" customWidth="1"/>
    <col min="3588" max="3588" width="25" style="1" customWidth="1"/>
    <col min="3589" max="3589" width="10" style="1" bestFit="1" customWidth="1"/>
    <col min="3590" max="3590" width="9.85546875" style="1" customWidth="1"/>
    <col min="3591" max="3591" width="10" style="1" bestFit="1" customWidth="1"/>
    <col min="3592" max="3592" width="9.85546875" style="1" customWidth="1"/>
    <col min="3593" max="3593" width="8.140625" style="1" customWidth="1"/>
    <col min="3594" max="3595" width="8.42578125" style="1" customWidth="1"/>
    <col min="3596" max="3597" width="9" style="1" customWidth="1"/>
    <col min="3598" max="3600" width="0" style="1" hidden="1" customWidth="1"/>
    <col min="3601" max="3601" width="9.85546875" style="1" customWidth="1"/>
    <col min="3602" max="3603" width="10.5703125" style="1" customWidth="1"/>
    <col min="3604" max="3604" width="10" style="1" customWidth="1"/>
    <col min="3605" max="3605" width="10.5703125" style="1" customWidth="1"/>
    <col min="3606" max="3606" width="9.28515625" style="1" customWidth="1"/>
    <col min="3607" max="3607" width="8.5703125" style="1" customWidth="1"/>
    <col min="3608" max="3842" width="9.140625" style="1"/>
    <col min="3843" max="3843" width="5.85546875" style="1" customWidth="1"/>
    <col min="3844" max="3844" width="25" style="1" customWidth="1"/>
    <col min="3845" max="3845" width="10" style="1" bestFit="1" customWidth="1"/>
    <col min="3846" max="3846" width="9.85546875" style="1" customWidth="1"/>
    <col min="3847" max="3847" width="10" style="1" bestFit="1" customWidth="1"/>
    <col min="3848" max="3848" width="9.85546875" style="1" customWidth="1"/>
    <col min="3849" max="3849" width="8.140625" style="1" customWidth="1"/>
    <col min="3850" max="3851" width="8.42578125" style="1" customWidth="1"/>
    <col min="3852" max="3853" width="9" style="1" customWidth="1"/>
    <col min="3854" max="3856" width="0" style="1" hidden="1" customWidth="1"/>
    <col min="3857" max="3857" width="9.85546875" style="1" customWidth="1"/>
    <col min="3858" max="3859" width="10.5703125" style="1" customWidth="1"/>
    <col min="3860" max="3860" width="10" style="1" customWidth="1"/>
    <col min="3861" max="3861" width="10.5703125" style="1" customWidth="1"/>
    <col min="3862" max="3862" width="9.28515625" style="1" customWidth="1"/>
    <col min="3863" max="3863" width="8.5703125" style="1" customWidth="1"/>
    <col min="3864" max="4098" width="9.140625" style="1"/>
    <col min="4099" max="4099" width="5.85546875" style="1" customWidth="1"/>
    <col min="4100" max="4100" width="25" style="1" customWidth="1"/>
    <col min="4101" max="4101" width="10" style="1" bestFit="1" customWidth="1"/>
    <col min="4102" max="4102" width="9.85546875" style="1" customWidth="1"/>
    <col min="4103" max="4103" width="10" style="1" bestFit="1" customWidth="1"/>
    <col min="4104" max="4104" width="9.85546875" style="1" customWidth="1"/>
    <col min="4105" max="4105" width="8.140625" style="1" customWidth="1"/>
    <col min="4106" max="4107" width="8.42578125" style="1" customWidth="1"/>
    <col min="4108" max="4109" width="9" style="1" customWidth="1"/>
    <col min="4110" max="4112" width="0" style="1" hidden="1" customWidth="1"/>
    <col min="4113" max="4113" width="9.85546875" style="1" customWidth="1"/>
    <col min="4114" max="4115" width="10.5703125" style="1" customWidth="1"/>
    <col min="4116" max="4116" width="10" style="1" customWidth="1"/>
    <col min="4117" max="4117" width="10.5703125" style="1" customWidth="1"/>
    <col min="4118" max="4118" width="9.28515625" style="1" customWidth="1"/>
    <col min="4119" max="4119" width="8.5703125" style="1" customWidth="1"/>
    <col min="4120" max="4354" width="9.140625" style="1"/>
    <col min="4355" max="4355" width="5.85546875" style="1" customWidth="1"/>
    <col min="4356" max="4356" width="25" style="1" customWidth="1"/>
    <col min="4357" max="4357" width="10" style="1" bestFit="1" customWidth="1"/>
    <col min="4358" max="4358" width="9.85546875" style="1" customWidth="1"/>
    <col min="4359" max="4359" width="10" style="1" bestFit="1" customWidth="1"/>
    <col min="4360" max="4360" width="9.85546875" style="1" customWidth="1"/>
    <col min="4361" max="4361" width="8.140625" style="1" customWidth="1"/>
    <col min="4362" max="4363" width="8.42578125" style="1" customWidth="1"/>
    <col min="4364" max="4365" width="9" style="1" customWidth="1"/>
    <col min="4366" max="4368" width="0" style="1" hidden="1" customWidth="1"/>
    <col min="4369" max="4369" width="9.85546875" style="1" customWidth="1"/>
    <col min="4370" max="4371" width="10.5703125" style="1" customWidth="1"/>
    <col min="4372" max="4372" width="10" style="1" customWidth="1"/>
    <col min="4373" max="4373" width="10.5703125" style="1" customWidth="1"/>
    <col min="4374" max="4374" width="9.28515625" style="1" customWidth="1"/>
    <col min="4375" max="4375" width="8.5703125" style="1" customWidth="1"/>
    <col min="4376" max="4610" width="9.140625" style="1"/>
    <col min="4611" max="4611" width="5.85546875" style="1" customWidth="1"/>
    <col min="4612" max="4612" width="25" style="1" customWidth="1"/>
    <col min="4613" max="4613" width="10" style="1" bestFit="1" customWidth="1"/>
    <col min="4614" max="4614" width="9.85546875" style="1" customWidth="1"/>
    <col min="4615" max="4615" width="10" style="1" bestFit="1" customWidth="1"/>
    <col min="4616" max="4616" width="9.85546875" style="1" customWidth="1"/>
    <col min="4617" max="4617" width="8.140625" style="1" customWidth="1"/>
    <col min="4618" max="4619" width="8.42578125" style="1" customWidth="1"/>
    <col min="4620" max="4621" width="9" style="1" customWidth="1"/>
    <col min="4622" max="4624" width="0" style="1" hidden="1" customWidth="1"/>
    <col min="4625" max="4625" width="9.85546875" style="1" customWidth="1"/>
    <col min="4626" max="4627" width="10.5703125" style="1" customWidth="1"/>
    <col min="4628" max="4628" width="10" style="1" customWidth="1"/>
    <col min="4629" max="4629" width="10.5703125" style="1" customWidth="1"/>
    <col min="4630" max="4630" width="9.28515625" style="1" customWidth="1"/>
    <col min="4631" max="4631" width="8.5703125" style="1" customWidth="1"/>
    <col min="4632" max="4866" width="9.140625" style="1"/>
    <col min="4867" max="4867" width="5.85546875" style="1" customWidth="1"/>
    <col min="4868" max="4868" width="25" style="1" customWidth="1"/>
    <col min="4869" max="4869" width="10" style="1" bestFit="1" customWidth="1"/>
    <col min="4870" max="4870" width="9.85546875" style="1" customWidth="1"/>
    <col min="4871" max="4871" width="10" style="1" bestFit="1" customWidth="1"/>
    <col min="4872" max="4872" width="9.85546875" style="1" customWidth="1"/>
    <col min="4873" max="4873" width="8.140625" style="1" customWidth="1"/>
    <col min="4874" max="4875" width="8.42578125" style="1" customWidth="1"/>
    <col min="4876" max="4877" width="9" style="1" customWidth="1"/>
    <col min="4878" max="4880" width="0" style="1" hidden="1" customWidth="1"/>
    <col min="4881" max="4881" width="9.85546875" style="1" customWidth="1"/>
    <col min="4882" max="4883" width="10.5703125" style="1" customWidth="1"/>
    <col min="4884" max="4884" width="10" style="1" customWidth="1"/>
    <col min="4885" max="4885" width="10.5703125" style="1" customWidth="1"/>
    <col min="4886" max="4886" width="9.28515625" style="1" customWidth="1"/>
    <col min="4887" max="4887" width="8.5703125" style="1" customWidth="1"/>
    <col min="4888" max="5122" width="9.140625" style="1"/>
    <col min="5123" max="5123" width="5.85546875" style="1" customWidth="1"/>
    <col min="5124" max="5124" width="25" style="1" customWidth="1"/>
    <col min="5125" max="5125" width="10" style="1" bestFit="1" customWidth="1"/>
    <col min="5126" max="5126" width="9.85546875" style="1" customWidth="1"/>
    <col min="5127" max="5127" width="10" style="1" bestFit="1" customWidth="1"/>
    <col min="5128" max="5128" width="9.85546875" style="1" customWidth="1"/>
    <col min="5129" max="5129" width="8.140625" style="1" customWidth="1"/>
    <col min="5130" max="5131" width="8.42578125" style="1" customWidth="1"/>
    <col min="5132" max="5133" width="9" style="1" customWidth="1"/>
    <col min="5134" max="5136" width="0" style="1" hidden="1" customWidth="1"/>
    <col min="5137" max="5137" width="9.85546875" style="1" customWidth="1"/>
    <col min="5138" max="5139" width="10.5703125" style="1" customWidth="1"/>
    <col min="5140" max="5140" width="10" style="1" customWidth="1"/>
    <col min="5141" max="5141" width="10.5703125" style="1" customWidth="1"/>
    <col min="5142" max="5142" width="9.28515625" style="1" customWidth="1"/>
    <col min="5143" max="5143" width="8.5703125" style="1" customWidth="1"/>
    <col min="5144" max="5378" width="9.140625" style="1"/>
    <col min="5379" max="5379" width="5.85546875" style="1" customWidth="1"/>
    <col min="5380" max="5380" width="25" style="1" customWidth="1"/>
    <col min="5381" max="5381" width="10" style="1" bestFit="1" customWidth="1"/>
    <col min="5382" max="5382" width="9.85546875" style="1" customWidth="1"/>
    <col min="5383" max="5383" width="10" style="1" bestFit="1" customWidth="1"/>
    <col min="5384" max="5384" width="9.85546875" style="1" customWidth="1"/>
    <col min="5385" max="5385" width="8.140625" style="1" customWidth="1"/>
    <col min="5386" max="5387" width="8.42578125" style="1" customWidth="1"/>
    <col min="5388" max="5389" width="9" style="1" customWidth="1"/>
    <col min="5390" max="5392" width="0" style="1" hidden="1" customWidth="1"/>
    <col min="5393" max="5393" width="9.85546875" style="1" customWidth="1"/>
    <col min="5394" max="5395" width="10.5703125" style="1" customWidth="1"/>
    <col min="5396" max="5396" width="10" style="1" customWidth="1"/>
    <col min="5397" max="5397" width="10.5703125" style="1" customWidth="1"/>
    <col min="5398" max="5398" width="9.28515625" style="1" customWidth="1"/>
    <col min="5399" max="5399" width="8.5703125" style="1" customWidth="1"/>
    <col min="5400" max="5634" width="9.140625" style="1"/>
    <col min="5635" max="5635" width="5.85546875" style="1" customWidth="1"/>
    <col min="5636" max="5636" width="25" style="1" customWidth="1"/>
    <col min="5637" max="5637" width="10" style="1" bestFit="1" customWidth="1"/>
    <col min="5638" max="5638" width="9.85546875" style="1" customWidth="1"/>
    <col min="5639" max="5639" width="10" style="1" bestFit="1" customWidth="1"/>
    <col min="5640" max="5640" width="9.85546875" style="1" customWidth="1"/>
    <col min="5641" max="5641" width="8.140625" style="1" customWidth="1"/>
    <col min="5642" max="5643" width="8.42578125" style="1" customWidth="1"/>
    <col min="5644" max="5645" width="9" style="1" customWidth="1"/>
    <col min="5646" max="5648" width="0" style="1" hidden="1" customWidth="1"/>
    <col min="5649" max="5649" width="9.85546875" style="1" customWidth="1"/>
    <col min="5650" max="5651" width="10.5703125" style="1" customWidth="1"/>
    <col min="5652" max="5652" width="10" style="1" customWidth="1"/>
    <col min="5653" max="5653" width="10.5703125" style="1" customWidth="1"/>
    <col min="5654" max="5654" width="9.28515625" style="1" customWidth="1"/>
    <col min="5655" max="5655" width="8.5703125" style="1" customWidth="1"/>
    <col min="5656" max="5890" width="9.140625" style="1"/>
    <col min="5891" max="5891" width="5.85546875" style="1" customWidth="1"/>
    <col min="5892" max="5892" width="25" style="1" customWidth="1"/>
    <col min="5893" max="5893" width="10" style="1" bestFit="1" customWidth="1"/>
    <col min="5894" max="5894" width="9.85546875" style="1" customWidth="1"/>
    <col min="5895" max="5895" width="10" style="1" bestFit="1" customWidth="1"/>
    <col min="5896" max="5896" width="9.85546875" style="1" customWidth="1"/>
    <col min="5897" max="5897" width="8.140625" style="1" customWidth="1"/>
    <col min="5898" max="5899" width="8.42578125" style="1" customWidth="1"/>
    <col min="5900" max="5901" width="9" style="1" customWidth="1"/>
    <col min="5902" max="5904" width="0" style="1" hidden="1" customWidth="1"/>
    <col min="5905" max="5905" width="9.85546875" style="1" customWidth="1"/>
    <col min="5906" max="5907" width="10.5703125" style="1" customWidth="1"/>
    <col min="5908" max="5908" width="10" style="1" customWidth="1"/>
    <col min="5909" max="5909" width="10.5703125" style="1" customWidth="1"/>
    <col min="5910" max="5910" width="9.28515625" style="1" customWidth="1"/>
    <col min="5911" max="5911" width="8.5703125" style="1" customWidth="1"/>
    <col min="5912" max="6146" width="9.140625" style="1"/>
    <col min="6147" max="6147" width="5.85546875" style="1" customWidth="1"/>
    <col min="6148" max="6148" width="25" style="1" customWidth="1"/>
    <col min="6149" max="6149" width="10" style="1" bestFit="1" customWidth="1"/>
    <col min="6150" max="6150" width="9.85546875" style="1" customWidth="1"/>
    <col min="6151" max="6151" width="10" style="1" bestFit="1" customWidth="1"/>
    <col min="6152" max="6152" width="9.85546875" style="1" customWidth="1"/>
    <col min="6153" max="6153" width="8.140625" style="1" customWidth="1"/>
    <col min="6154" max="6155" width="8.42578125" style="1" customWidth="1"/>
    <col min="6156" max="6157" width="9" style="1" customWidth="1"/>
    <col min="6158" max="6160" width="0" style="1" hidden="1" customWidth="1"/>
    <col min="6161" max="6161" width="9.85546875" style="1" customWidth="1"/>
    <col min="6162" max="6163" width="10.5703125" style="1" customWidth="1"/>
    <col min="6164" max="6164" width="10" style="1" customWidth="1"/>
    <col min="6165" max="6165" width="10.5703125" style="1" customWidth="1"/>
    <col min="6166" max="6166" width="9.28515625" style="1" customWidth="1"/>
    <col min="6167" max="6167" width="8.5703125" style="1" customWidth="1"/>
    <col min="6168" max="6402" width="9.140625" style="1"/>
    <col min="6403" max="6403" width="5.85546875" style="1" customWidth="1"/>
    <col min="6404" max="6404" width="25" style="1" customWidth="1"/>
    <col min="6405" max="6405" width="10" style="1" bestFit="1" customWidth="1"/>
    <col min="6406" max="6406" width="9.85546875" style="1" customWidth="1"/>
    <col min="6407" max="6407" width="10" style="1" bestFit="1" customWidth="1"/>
    <col min="6408" max="6408" width="9.85546875" style="1" customWidth="1"/>
    <col min="6409" max="6409" width="8.140625" style="1" customWidth="1"/>
    <col min="6410" max="6411" width="8.42578125" style="1" customWidth="1"/>
    <col min="6412" max="6413" width="9" style="1" customWidth="1"/>
    <col min="6414" max="6416" width="0" style="1" hidden="1" customWidth="1"/>
    <col min="6417" max="6417" width="9.85546875" style="1" customWidth="1"/>
    <col min="6418" max="6419" width="10.5703125" style="1" customWidth="1"/>
    <col min="6420" max="6420" width="10" style="1" customWidth="1"/>
    <col min="6421" max="6421" width="10.5703125" style="1" customWidth="1"/>
    <col min="6422" max="6422" width="9.28515625" style="1" customWidth="1"/>
    <col min="6423" max="6423" width="8.5703125" style="1" customWidth="1"/>
    <col min="6424" max="6658" width="9.140625" style="1"/>
    <col min="6659" max="6659" width="5.85546875" style="1" customWidth="1"/>
    <col min="6660" max="6660" width="25" style="1" customWidth="1"/>
    <col min="6661" max="6661" width="10" style="1" bestFit="1" customWidth="1"/>
    <col min="6662" max="6662" width="9.85546875" style="1" customWidth="1"/>
    <col min="6663" max="6663" width="10" style="1" bestFit="1" customWidth="1"/>
    <col min="6664" max="6664" width="9.85546875" style="1" customWidth="1"/>
    <col min="6665" max="6665" width="8.140625" style="1" customWidth="1"/>
    <col min="6666" max="6667" width="8.42578125" style="1" customWidth="1"/>
    <col min="6668" max="6669" width="9" style="1" customWidth="1"/>
    <col min="6670" max="6672" width="0" style="1" hidden="1" customWidth="1"/>
    <col min="6673" max="6673" width="9.85546875" style="1" customWidth="1"/>
    <col min="6674" max="6675" width="10.5703125" style="1" customWidth="1"/>
    <col min="6676" max="6676" width="10" style="1" customWidth="1"/>
    <col min="6677" max="6677" width="10.5703125" style="1" customWidth="1"/>
    <col min="6678" max="6678" width="9.28515625" style="1" customWidth="1"/>
    <col min="6679" max="6679" width="8.5703125" style="1" customWidth="1"/>
    <col min="6680" max="6914" width="9.140625" style="1"/>
    <col min="6915" max="6915" width="5.85546875" style="1" customWidth="1"/>
    <col min="6916" max="6916" width="25" style="1" customWidth="1"/>
    <col min="6917" max="6917" width="10" style="1" bestFit="1" customWidth="1"/>
    <col min="6918" max="6918" width="9.85546875" style="1" customWidth="1"/>
    <col min="6919" max="6919" width="10" style="1" bestFit="1" customWidth="1"/>
    <col min="6920" max="6920" width="9.85546875" style="1" customWidth="1"/>
    <col min="6921" max="6921" width="8.140625" style="1" customWidth="1"/>
    <col min="6922" max="6923" width="8.42578125" style="1" customWidth="1"/>
    <col min="6924" max="6925" width="9" style="1" customWidth="1"/>
    <col min="6926" max="6928" width="0" style="1" hidden="1" customWidth="1"/>
    <col min="6929" max="6929" width="9.85546875" style="1" customWidth="1"/>
    <col min="6930" max="6931" width="10.5703125" style="1" customWidth="1"/>
    <col min="6932" max="6932" width="10" style="1" customWidth="1"/>
    <col min="6933" max="6933" width="10.5703125" style="1" customWidth="1"/>
    <col min="6934" max="6934" width="9.28515625" style="1" customWidth="1"/>
    <col min="6935" max="6935" width="8.5703125" style="1" customWidth="1"/>
    <col min="6936" max="7170" width="9.140625" style="1"/>
    <col min="7171" max="7171" width="5.85546875" style="1" customWidth="1"/>
    <col min="7172" max="7172" width="25" style="1" customWidth="1"/>
    <col min="7173" max="7173" width="10" style="1" bestFit="1" customWidth="1"/>
    <col min="7174" max="7174" width="9.85546875" style="1" customWidth="1"/>
    <col min="7175" max="7175" width="10" style="1" bestFit="1" customWidth="1"/>
    <col min="7176" max="7176" width="9.85546875" style="1" customWidth="1"/>
    <col min="7177" max="7177" width="8.140625" style="1" customWidth="1"/>
    <col min="7178" max="7179" width="8.42578125" style="1" customWidth="1"/>
    <col min="7180" max="7181" width="9" style="1" customWidth="1"/>
    <col min="7182" max="7184" width="0" style="1" hidden="1" customWidth="1"/>
    <col min="7185" max="7185" width="9.85546875" style="1" customWidth="1"/>
    <col min="7186" max="7187" width="10.5703125" style="1" customWidth="1"/>
    <col min="7188" max="7188" width="10" style="1" customWidth="1"/>
    <col min="7189" max="7189" width="10.5703125" style="1" customWidth="1"/>
    <col min="7190" max="7190" width="9.28515625" style="1" customWidth="1"/>
    <col min="7191" max="7191" width="8.5703125" style="1" customWidth="1"/>
    <col min="7192" max="7426" width="9.140625" style="1"/>
    <col min="7427" max="7427" width="5.85546875" style="1" customWidth="1"/>
    <col min="7428" max="7428" width="25" style="1" customWidth="1"/>
    <col min="7429" max="7429" width="10" style="1" bestFit="1" customWidth="1"/>
    <col min="7430" max="7430" width="9.85546875" style="1" customWidth="1"/>
    <col min="7431" max="7431" width="10" style="1" bestFit="1" customWidth="1"/>
    <col min="7432" max="7432" width="9.85546875" style="1" customWidth="1"/>
    <col min="7433" max="7433" width="8.140625" style="1" customWidth="1"/>
    <col min="7434" max="7435" width="8.42578125" style="1" customWidth="1"/>
    <col min="7436" max="7437" width="9" style="1" customWidth="1"/>
    <col min="7438" max="7440" width="0" style="1" hidden="1" customWidth="1"/>
    <col min="7441" max="7441" width="9.85546875" style="1" customWidth="1"/>
    <col min="7442" max="7443" width="10.5703125" style="1" customWidth="1"/>
    <col min="7444" max="7444" width="10" style="1" customWidth="1"/>
    <col min="7445" max="7445" width="10.5703125" style="1" customWidth="1"/>
    <col min="7446" max="7446" width="9.28515625" style="1" customWidth="1"/>
    <col min="7447" max="7447" width="8.5703125" style="1" customWidth="1"/>
    <col min="7448" max="7682" width="9.140625" style="1"/>
    <col min="7683" max="7683" width="5.85546875" style="1" customWidth="1"/>
    <col min="7684" max="7684" width="25" style="1" customWidth="1"/>
    <col min="7685" max="7685" width="10" style="1" bestFit="1" customWidth="1"/>
    <col min="7686" max="7686" width="9.85546875" style="1" customWidth="1"/>
    <col min="7687" max="7687" width="10" style="1" bestFit="1" customWidth="1"/>
    <col min="7688" max="7688" width="9.85546875" style="1" customWidth="1"/>
    <col min="7689" max="7689" width="8.140625" style="1" customWidth="1"/>
    <col min="7690" max="7691" width="8.42578125" style="1" customWidth="1"/>
    <col min="7692" max="7693" width="9" style="1" customWidth="1"/>
    <col min="7694" max="7696" width="0" style="1" hidden="1" customWidth="1"/>
    <col min="7697" max="7697" width="9.85546875" style="1" customWidth="1"/>
    <col min="7698" max="7699" width="10.5703125" style="1" customWidth="1"/>
    <col min="7700" max="7700" width="10" style="1" customWidth="1"/>
    <col min="7701" max="7701" width="10.5703125" style="1" customWidth="1"/>
    <col min="7702" max="7702" width="9.28515625" style="1" customWidth="1"/>
    <col min="7703" max="7703" width="8.5703125" style="1" customWidth="1"/>
    <col min="7704" max="7938" width="9.140625" style="1"/>
    <col min="7939" max="7939" width="5.85546875" style="1" customWidth="1"/>
    <col min="7940" max="7940" width="25" style="1" customWidth="1"/>
    <col min="7941" max="7941" width="10" style="1" bestFit="1" customWidth="1"/>
    <col min="7942" max="7942" width="9.85546875" style="1" customWidth="1"/>
    <col min="7943" max="7943" width="10" style="1" bestFit="1" customWidth="1"/>
    <col min="7944" max="7944" width="9.85546875" style="1" customWidth="1"/>
    <col min="7945" max="7945" width="8.140625" style="1" customWidth="1"/>
    <col min="7946" max="7947" width="8.42578125" style="1" customWidth="1"/>
    <col min="7948" max="7949" width="9" style="1" customWidth="1"/>
    <col min="7950" max="7952" width="0" style="1" hidden="1" customWidth="1"/>
    <col min="7953" max="7953" width="9.85546875" style="1" customWidth="1"/>
    <col min="7954" max="7955" width="10.5703125" style="1" customWidth="1"/>
    <col min="7956" max="7956" width="10" style="1" customWidth="1"/>
    <col min="7957" max="7957" width="10.5703125" style="1" customWidth="1"/>
    <col min="7958" max="7958" width="9.28515625" style="1" customWidth="1"/>
    <col min="7959" max="7959" width="8.5703125" style="1" customWidth="1"/>
    <col min="7960" max="8194" width="9.140625" style="1"/>
    <col min="8195" max="8195" width="5.85546875" style="1" customWidth="1"/>
    <col min="8196" max="8196" width="25" style="1" customWidth="1"/>
    <col min="8197" max="8197" width="10" style="1" bestFit="1" customWidth="1"/>
    <col min="8198" max="8198" width="9.85546875" style="1" customWidth="1"/>
    <col min="8199" max="8199" width="10" style="1" bestFit="1" customWidth="1"/>
    <col min="8200" max="8200" width="9.85546875" style="1" customWidth="1"/>
    <col min="8201" max="8201" width="8.140625" style="1" customWidth="1"/>
    <col min="8202" max="8203" width="8.42578125" style="1" customWidth="1"/>
    <col min="8204" max="8205" width="9" style="1" customWidth="1"/>
    <col min="8206" max="8208" width="0" style="1" hidden="1" customWidth="1"/>
    <col min="8209" max="8209" width="9.85546875" style="1" customWidth="1"/>
    <col min="8210" max="8211" width="10.5703125" style="1" customWidth="1"/>
    <col min="8212" max="8212" width="10" style="1" customWidth="1"/>
    <col min="8213" max="8213" width="10.5703125" style="1" customWidth="1"/>
    <col min="8214" max="8214" width="9.28515625" style="1" customWidth="1"/>
    <col min="8215" max="8215" width="8.5703125" style="1" customWidth="1"/>
    <col min="8216" max="8450" width="9.140625" style="1"/>
    <col min="8451" max="8451" width="5.85546875" style="1" customWidth="1"/>
    <col min="8452" max="8452" width="25" style="1" customWidth="1"/>
    <col min="8453" max="8453" width="10" style="1" bestFit="1" customWidth="1"/>
    <col min="8454" max="8454" width="9.85546875" style="1" customWidth="1"/>
    <col min="8455" max="8455" width="10" style="1" bestFit="1" customWidth="1"/>
    <col min="8456" max="8456" width="9.85546875" style="1" customWidth="1"/>
    <col min="8457" max="8457" width="8.140625" style="1" customWidth="1"/>
    <col min="8458" max="8459" width="8.42578125" style="1" customWidth="1"/>
    <col min="8460" max="8461" width="9" style="1" customWidth="1"/>
    <col min="8462" max="8464" width="0" style="1" hidden="1" customWidth="1"/>
    <col min="8465" max="8465" width="9.85546875" style="1" customWidth="1"/>
    <col min="8466" max="8467" width="10.5703125" style="1" customWidth="1"/>
    <col min="8468" max="8468" width="10" style="1" customWidth="1"/>
    <col min="8469" max="8469" width="10.5703125" style="1" customWidth="1"/>
    <col min="8470" max="8470" width="9.28515625" style="1" customWidth="1"/>
    <col min="8471" max="8471" width="8.5703125" style="1" customWidth="1"/>
    <col min="8472" max="8706" width="9.140625" style="1"/>
    <col min="8707" max="8707" width="5.85546875" style="1" customWidth="1"/>
    <col min="8708" max="8708" width="25" style="1" customWidth="1"/>
    <col min="8709" max="8709" width="10" style="1" bestFit="1" customWidth="1"/>
    <col min="8710" max="8710" width="9.85546875" style="1" customWidth="1"/>
    <col min="8711" max="8711" width="10" style="1" bestFit="1" customWidth="1"/>
    <col min="8712" max="8712" width="9.85546875" style="1" customWidth="1"/>
    <col min="8713" max="8713" width="8.140625" style="1" customWidth="1"/>
    <col min="8714" max="8715" width="8.42578125" style="1" customWidth="1"/>
    <col min="8716" max="8717" width="9" style="1" customWidth="1"/>
    <col min="8718" max="8720" width="0" style="1" hidden="1" customWidth="1"/>
    <col min="8721" max="8721" width="9.85546875" style="1" customWidth="1"/>
    <col min="8722" max="8723" width="10.5703125" style="1" customWidth="1"/>
    <col min="8724" max="8724" width="10" style="1" customWidth="1"/>
    <col min="8725" max="8725" width="10.5703125" style="1" customWidth="1"/>
    <col min="8726" max="8726" width="9.28515625" style="1" customWidth="1"/>
    <col min="8727" max="8727" width="8.5703125" style="1" customWidth="1"/>
    <col min="8728" max="8962" width="9.140625" style="1"/>
    <col min="8963" max="8963" width="5.85546875" style="1" customWidth="1"/>
    <col min="8964" max="8964" width="25" style="1" customWidth="1"/>
    <col min="8965" max="8965" width="10" style="1" bestFit="1" customWidth="1"/>
    <col min="8966" max="8966" width="9.85546875" style="1" customWidth="1"/>
    <col min="8967" max="8967" width="10" style="1" bestFit="1" customWidth="1"/>
    <col min="8968" max="8968" width="9.85546875" style="1" customWidth="1"/>
    <col min="8969" max="8969" width="8.140625" style="1" customWidth="1"/>
    <col min="8970" max="8971" width="8.42578125" style="1" customWidth="1"/>
    <col min="8972" max="8973" width="9" style="1" customWidth="1"/>
    <col min="8974" max="8976" width="0" style="1" hidden="1" customWidth="1"/>
    <col min="8977" max="8977" width="9.85546875" style="1" customWidth="1"/>
    <col min="8978" max="8979" width="10.5703125" style="1" customWidth="1"/>
    <col min="8980" max="8980" width="10" style="1" customWidth="1"/>
    <col min="8981" max="8981" width="10.5703125" style="1" customWidth="1"/>
    <col min="8982" max="8982" width="9.28515625" style="1" customWidth="1"/>
    <col min="8983" max="8983" width="8.5703125" style="1" customWidth="1"/>
    <col min="8984" max="9218" width="9.140625" style="1"/>
    <col min="9219" max="9219" width="5.85546875" style="1" customWidth="1"/>
    <col min="9220" max="9220" width="25" style="1" customWidth="1"/>
    <col min="9221" max="9221" width="10" style="1" bestFit="1" customWidth="1"/>
    <col min="9222" max="9222" width="9.85546875" style="1" customWidth="1"/>
    <col min="9223" max="9223" width="10" style="1" bestFit="1" customWidth="1"/>
    <col min="9224" max="9224" width="9.85546875" style="1" customWidth="1"/>
    <col min="9225" max="9225" width="8.140625" style="1" customWidth="1"/>
    <col min="9226" max="9227" width="8.42578125" style="1" customWidth="1"/>
    <col min="9228" max="9229" width="9" style="1" customWidth="1"/>
    <col min="9230" max="9232" width="0" style="1" hidden="1" customWidth="1"/>
    <col min="9233" max="9233" width="9.85546875" style="1" customWidth="1"/>
    <col min="9234" max="9235" width="10.5703125" style="1" customWidth="1"/>
    <col min="9236" max="9236" width="10" style="1" customWidth="1"/>
    <col min="9237" max="9237" width="10.5703125" style="1" customWidth="1"/>
    <col min="9238" max="9238" width="9.28515625" style="1" customWidth="1"/>
    <col min="9239" max="9239" width="8.5703125" style="1" customWidth="1"/>
    <col min="9240" max="9474" width="9.140625" style="1"/>
    <col min="9475" max="9475" width="5.85546875" style="1" customWidth="1"/>
    <col min="9476" max="9476" width="25" style="1" customWidth="1"/>
    <col min="9477" max="9477" width="10" style="1" bestFit="1" customWidth="1"/>
    <col min="9478" max="9478" width="9.85546875" style="1" customWidth="1"/>
    <col min="9479" max="9479" width="10" style="1" bestFit="1" customWidth="1"/>
    <col min="9480" max="9480" width="9.85546875" style="1" customWidth="1"/>
    <col min="9481" max="9481" width="8.140625" style="1" customWidth="1"/>
    <col min="9482" max="9483" width="8.42578125" style="1" customWidth="1"/>
    <col min="9484" max="9485" width="9" style="1" customWidth="1"/>
    <col min="9486" max="9488" width="0" style="1" hidden="1" customWidth="1"/>
    <col min="9489" max="9489" width="9.85546875" style="1" customWidth="1"/>
    <col min="9490" max="9491" width="10.5703125" style="1" customWidth="1"/>
    <col min="9492" max="9492" width="10" style="1" customWidth="1"/>
    <col min="9493" max="9493" width="10.5703125" style="1" customWidth="1"/>
    <col min="9494" max="9494" width="9.28515625" style="1" customWidth="1"/>
    <col min="9495" max="9495" width="8.5703125" style="1" customWidth="1"/>
    <col min="9496" max="9730" width="9.140625" style="1"/>
    <col min="9731" max="9731" width="5.85546875" style="1" customWidth="1"/>
    <col min="9732" max="9732" width="25" style="1" customWidth="1"/>
    <col min="9733" max="9733" width="10" style="1" bestFit="1" customWidth="1"/>
    <col min="9734" max="9734" width="9.85546875" style="1" customWidth="1"/>
    <col min="9735" max="9735" width="10" style="1" bestFit="1" customWidth="1"/>
    <col min="9736" max="9736" width="9.85546875" style="1" customWidth="1"/>
    <col min="9737" max="9737" width="8.140625" style="1" customWidth="1"/>
    <col min="9738" max="9739" width="8.42578125" style="1" customWidth="1"/>
    <col min="9740" max="9741" width="9" style="1" customWidth="1"/>
    <col min="9742" max="9744" width="0" style="1" hidden="1" customWidth="1"/>
    <col min="9745" max="9745" width="9.85546875" style="1" customWidth="1"/>
    <col min="9746" max="9747" width="10.5703125" style="1" customWidth="1"/>
    <col min="9748" max="9748" width="10" style="1" customWidth="1"/>
    <col min="9749" max="9749" width="10.5703125" style="1" customWidth="1"/>
    <col min="9750" max="9750" width="9.28515625" style="1" customWidth="1"/>
    <col min="9751" max="9751" width="8.5703125" style="1" customWidth="1"/>
    <col min="9752" max="9986" width="9.140625" style="1"/>
    <col min="9987" max="9987" width="5.85546875" style="1" customWidth="1"/>
    <col min="9988" max="9988" width="25" style="1" customWidth="1"/>
    <col min="9989" max="9989" width="10" style="1" bestFit="1" customWidth="1"/>
    <col min="9990" max="9990" width="9.85546875" style="1" customWidth="1"/>
    <col min="9991" max="9991" width="10" style="1" bestFit="1" customWidth="1"/>
    <col min="9992" max="9992" width="9.85546875" style="1" customWidth="1"/>
    <col min="9993" max="9993" width="8.140625" style="1" customWidth="1"/>
    <col min="9994" max="9995" width="8.42578125" style="1" customWidth="1"/>
    <col min="9996" max="9997" width="9" style="1" customWidth="1"/>
    <col min="9998" max="10000" width="0" style="1" hidden="1" customWidth="1"/>
    <col min="10001" max="10001" width="9.85546875" style="1" customWidth="1"/>
    <col min="10002" max="10003" width="10.5703125" style="1" customWidth="1"/>
    <col min="10004" max="10004" width="10" style="1" customWidth="1"/>
    <col min="10005" max="10005" width="10.5703125" style="1" customWidth="1"/>
    <col min="10006" max="10006" width="9.28515625" style="1" customWidth="1"/>
    <col min="10007" max="10007" width="8.5703125" style="1" customWidth="1"/>
    <col min="10008" max="10242" width="9.140625" style="1"/>
    <col min="10243" max="10243" width="5.85546875" style="1" customWidth="1"/>
    <col min="10244" max="10244" width="25" style="1" customWidth="1"/>
    <col min="10245" max="10245" width="10" style="1" bestFit="1" customWidth="1"/>
    <col min="10246" max="10246" width="9.85546875" style="1" customWidth="1"/>
    <col min="10247" max="10247" width="10" style="1" bestFit="1" customWidth="1"/>
    <col min="10248" max="10248" width="9.85546875" style="1" customWidth="1"/>
    <col min="10249" max="10249" width="8.140625" style="1" customWidth="1"/>
    <col min="10250" max="10251" width="8.42578125" style="1" customWidth="1"/>
    <col min="10252" max="10253" width="9" style="1" customWidth="1"/>
    <col min="10254" max="10256" width="0" style="1" hidden="1" customWidth="1"/>
    <col min="10257" max="10257" width="9.85546875" style="1" customWidth="1"/>
    <col min="10258" max="10259" width="10.5703125" style="1" customWidth="1"/>
    <col min="10260" max="10260" width="10" style="1" customWidth="1"/>
    <col min="10261" max="10261" width="10.5703125" style="1" customWidth="1"/>
    <col min="10262" max="10262" width="9.28515625" style="1" customWidth="1"/>
    <col min="10263" max="10263" width="8.5703125" style="1" customWidth="1"/>
    <col min="10264" max="10498" width="9.140625" style="1"/>
    <col min="10499" max="10499" width="5.85546875" style="1" customWidth="1"/>
    <col min="10500" max="10500" width="25" style="1" customWidth="1"/>
    <col min="10501" max="10501" width="10" style="1" bestFit="1" customWidth="1"/>
    <col min="10502" max="10502" width="9.85546875" style="1" customWidth="1"/>
    <col min="10503" max="10503" width="10" style="1" bestFit="1" customWidth="1"/>
    <col min="10504" max="10504" width="9.85546875" style="1" customWidth="1"/>
    <col min="10505" max="10505" width="8.140625" style="1" customWidth="1"/>
    <col min="10506" max="10507" width="8.42578125" style="1" customWidth="1"/>
    <col min="10508" max="10509" width="9" style="1" customWidth="1"/>
    <col min="10510" max="10512" width="0" style="1" hidden="1" customWidth="1"/>
    <col min="10513" max="10513" width="9.85546875" style="1" customWidth="1"/>
    <col min="10514" max="10515" width="10.5703125" style="1" customWidth="1"/>
    <col min="10516" max="10516" width="10" style="1" customWidth="1"/>
    <col min="10517" max="10517" width="10.5703125" style="1" customWidth="1"/>
    <col min="10518" max="10518" width="9.28515625" style="1" customWidth="1"/>
    <col min="10519" max="10519" width="8.5703125" style="1" customWidth="1"/>
    <col min="10520" max="10754" width="9.140625" style="1"/>
    <col min="10755" max="10755" width="5.85546875" style="1" customWidth="1"/>
    <col min="10756" max="10756" width="25" style="1" customWidth="1"/>
    <col min="10757" max="10757" width="10" style="1" bestFit="1" customWidth="1"/>
    <col min="10758" max="10758" width="9.85546875" style="1" customWidth="1"/>
    <col min="10759" max="10759" width="10" style="1" bestFit="1" customWidth="1"/>
    <col min="10760" max="10760" width="9.85546875" style="1" customWidth="1"/>
    <col min="10761" max="10761" width="8.140625" style="1" customWidth="1"/>
    <col min="10762" max="10763" width="8.42578125" style="1" customWidth="1"/>
    <col min="10764" max="10765" width="9" style="1" customWidth="1"/>
    <col min="10766" max="10768" width="0" style="1" hidden="1" customWidth="1"/>
    <col min="10769" max="10769" width="9.85546875" style="1" customWidth="1"/>
    <col min="10770" max="10771" width="10.5703125" style="1" customWidth="1"/>
    <col min="10772" max="10772" width="10" style="1" customWidth="1"/>
    <col min="10773" max="10773" width="10.5703125" style="1" customWidth="1"/>
    <col min="10774" max="10774" width="9.28515625" style="1" customWidth="1"/>
    <col min="10775" max="10775" width="8.5703125" style="1" customWidth="1"/>
    <col min="10776" max="11010" width="9.140625" style="1"/>
    <col min="11011" max="11011" width="5.85546875" style="1" customWidth="1"/>
    <col min="11012" max="11012" width="25" style="1" customWidth="1"/>
    <col min="11013" max="11013" width="10" style="1" bestFit="1" customWidth="1"/>
    <col min="11014" max="11014" width="9.85546875" style="1" customWidth="1"/>
    <col min="11015" max="11015" width="10" style="1" bestFit="1" customWidth="1"/>
    <col min="11016" max="11016" width="9.85546875" style="1" customWidth="1"/>
    <col min="11017" max="11017" width="8.140625" style="1" customWidth="1"/>
    <col min="11018" max="11019" width="8.42578125" style="1" customWidth="1"/>
    <col min="11020" max="11021" width="9" style="1" customWidth="1"/>
    <col min="11022" max="11024" width="0" style="1" hidden="1" customWidth="1"/>
    <col min="11025" max="11025" width="9.85546875" style="1" customWidth="1"/>
    <col min="11026" max="11027" width="10.5703125" style="1" customWidth="1"/>
    <col min="11028" max="11028" width="10" style="1" customWidth="1"/>
    <col min="11029" max="11029" width="10.5703125" style="1" customWidth="1"/>
    <col min="11030" max="11030" width="9.28515625" style="1" customWidth="1"/>
    <col min="11031" max="11031" width="8.5703125" style="1" customWidth="1"/>
    <col min="11032" max="11266" width="9.140625" style="1"/>
    <col min="11267" max="11267" width="5.85546875" style="1" customWidth="1"/>
    <col min="11268" max="11268" width="25" style="1" customWidth="1"/>
    <col min="11269" max="11269" width="10" style="1" bestFit="1" customWidth="1"/>
    <col min="11270" max="11270" width="9.85546875" style="1" customWidth="1"/>
    <col min="11271" max="11271" width="10" style="1" bestFit="1" customWidth="1"/>
    <col min="11272" max="11272" width="9.85546875" style="1" customWidth="1"/>
    <col min="11273" max="11273" width="8.140625" style="1" customWidth="1"/>
    <col min="11274" max="11275" width="8.42578125" style="1" customWidth="1"/>
    <col min="11276" max="11277" width="9" style="1" customWidth="1"/>
    <col min="11278" max="11280" width="0" style="1" hidden="1" customWidth="1"/>
    <col min="11281" max="11281" width="9.85546875" style="1" customWidth="1"/>
    <col min="11282" max="11283" width="10.5703125" style="1" customWidth="1"/>
    <col min="11284" max="11284" width="10" style="1" customWidth="1"/>
    <col min="11285" max="11285" width="10.5703125" style="1" customWidth="1"/>
    <col min="11286" max="11286" width="9.28515625" style="1" customWidth="1"/>
    <col min="11287" max="11287" width="8.5703125" style="1" customWidth="1"/>
    <col min="11288" max="11522" width="9.140625" style="1"/>
    <col min="11523" max="11523" width="5.85546875" style="1" customWidth="1"/>
    <col min="11524" max="11524" width="25" style="1" customWidth="1"/>
    <col min="11525" max="11525" width="10" style="1" bestFit="1" customWidth="1"/>
    <col min="11526" max="11526" width="9.85546875" style="1" customWidth="1"/>
    <col min="11527" max="11527" width="10" style="1" bestFit="1" customWidth="1"/>
    <col min="11528" max="11528" width="9.85546875" style="1" customWidth="1"/>
    <col min="11529" max="11529" width="8.140625" style="1" customWidth="1"/>
    <col min="11530" max="11531" width="8.42578125" style="1" customWidth="1"/>
    <col min="11532" max="11533" width="9" style="1" customWidth="1"/>
    <col min="11534" max="11536" width="0" style="1" hidden="1" customWidth="1"/>
    <col min="11537" max="11537" width="9.85546875" style="1" customWidth="1"/>
    <col min="11538" max="11539" width="10.5703125" style="1" customWidth="1"/>
    <col min="11540" max="11540" width="10" style="1" customWidth="1"/>
    <col min="11541" max="11541" width="10.5703125" style="1" customWidth="1"/>
    <col min="11542" max="11542" width="9.28515625" style="1" customWidth="1"/>
    <col min="11543" max="11543" width="8.5703125" style="1" customWidth="1"/>
    <col min="11544" max="11778" width="9.140625" style="1"/>
    <col min="11779" max="11779" width="5.85546875" style="1" customWidth="1"/>
    <col min="11780" max="11780" width="25" style="1" customWidth="1"/>
    <col min="11781" max="11781" width="10" style="1" bestFit="1" customWidth="1"/>
    <col min="11782" max="11782" width="9.85546875" style="1" customWidth="1"/>
    <col min="11783" max="11783" width="10" style="1" bestFit="1" customWidth="1"/>
    <col min="11784" max="11784" width="9.85546875" style="1" customWidth="1"/>
    <col min="11785" max="11785" width="8.140625" style="1" customWidth="1"/>
    <col min="11786" max="11787" width="8.42578125" style="1" customWidth="1"/>
    <col min="11788" max="11789" width="9" style="1" customWidth="1"/>
    <col min="11790" max="11792" width="0" style="1" hidden="1" customWidth="1"/>
    <col min="11793" max="11793" width="9.85546875" style="1" customWidth="1"/>
    <col min="11794" max="11795" width="10.5703125" style="1" customWidth="1"/>
    <col min="11796" max="11796" width="10" style="1" customWidth="1"/>
    <col min="11797" max="11797" width="10.5703125" style="1" customWidth="1"/>
    <col min="11798" max="11798" width="9.28515625" style="1" customWidth="1"/>
    <col min="11799" max="11799" width="8.5703125" style="1" customWidth="1"/>
    <col min="11800" max="12034" width="9.140625" style="1"/>
    <col min="12035" max="12035" width="5.85546875" style="1" customWidth="1"/>
    <col min="12036" max="12036" width="25" style="1" customWidth="1"/>
    <col min="12037" max="12037" width="10" style="1" bestFit="1" customWidth="1"/>
    <col min="12038" max="12038" width="9.85546875" style="1" customWidth="1"/>
    <col min="12039" max="12039" width="10" style="1" bestFit="1" customWidth="1"/>
    <col min="12040" max="12040" width="9.85546875" style="1" customWidth="1"/>
    <col min="12041" max="12041" width="8.140625" style="1" customWidth="1"/>
    <col min="12042" max="12043" width="8.42578125" style="1" customWidth="1"/>
    <col min="12044" max="12045" width="9" style="1" customWidth="1"/>
    <col min="12046" max="12048" width="0" style="1" hidden="1" customWidth="1"/>
    <col min="12049" max="12049" width="9.85546875" style="1" customWidth="1"/>
    <col min="12050" max="12051" width="10.5703125" style="1" customWidth="1"/>
    <col min="12052" max="12052" width="10" style="1" customWidth="1"/>
    <col min="12053" max="12053" width="10.5703125" style="1" customWidth="1"/>
    <col min="12054" max="12054" width="9.28515625" style="1" customWidth="1"/>
    <col min="12055" max="12055" width="8.5703125" style="1" customWidth="1"/>
    <col min="12056" max="12290" width="9.140625" style="1"/>
    <col min="12291" max="12291" width="5.85546875" style="1" customWidth="1"/>
    <col min="12292" max="12292" width="25" style="1" customWidth="1"/>
    <col min="12293" max="12293" width="10" style="1" bestFit="1" customWidth="1"/>
    <col min="12294" max="12294" width="9.85546875" style="1" customWidth="1"/>
    <col min="12295" max="12295" width="10" style="1" bestFit="1" customWidth="1"/>
    <col min="12296" max="12296" width="9.85546875" style="1" customWidth="1"/>
    <col min="12297" max="12297" width="8.140625" style="1" customWidth="1"/>
    <col min="12298" max="12299" width="8.42578125" style="1" customWidth="1"/>
    <col min="12300" max="12301" width="9" style="1" customWidth="1"/>
    <col min="12302" max="12304" width="0" style="1" hidden="1" customWidth="1"/>
    <col min="12305" max="12305" width="9.85546875" style="1" customWidth="1"/>
    <col min="12306" max="12307" width="10.5703125" style="1" customWidth="1"/>
    <col min="12308" max="12308" width="10" style="1" customWidth="1"/>
    <col min="12309" max="12309" width="10.5703125" style="1" customWidth="1"/>
    <col min="12310" max="12310" width="9.28515625" style="1" customWidth="1"/>
    <col min="12311" max="12311" width="8.5703125" style="1" customWidth="1"/>
    <col min="12312" max="12546" width="9.140625" style="1"/>
    <col min="12547" max="12547" width="5.85546875" style="1" customWidth="1"/>
    <col min="12548" max="12548" width="25" style="1" customWidth="1"/>
    <col min="12549" max="12549" width="10" style="1" bestFit="1" customWidth="1"/>
    <col min="12550" max="12550" width="9.85546875" style="1" customWidth="1"/>
    <col min="12551" max="12551" width="10" style="1" bestFit="1" customWidth="1"/>
    <col min="12552" max="12552" width="9.85546875" style="1" customWidth="1"/>
    <col min="12553" max="12553" width="8.140625" style="1" customWidth="1"/>
    <col min="12554" max="12555" width="8.42578125" style="1" customWidth="1"/>
    <col min="12556" max="12557" width="9" style="1" customWidth="1"/>
    <col min="12558" max="12560" width="0" style="1" hidden="1" customWidth="1"/>
    <col min="12561" max="12561" width="9.85546875" style="1" customWidth="1"/>
    <col min="12562" max="12563" width="10.5703125" style="1" customWidth="1"/>
    <col min="12564" max="12564" width="10" style="1" customWidth="1"/>
    <col min="12565" max="12565" width="10.5703125" style="1" customWidth="1"/>
    <col min="12566" max="12566" width="9.28515625" style="1" customWidth="1"/>
    <col min="12567" max="12567" width="8.5703125" style="1" customWidth="1"/>
    <col min="12568" max="12802" width="9.140625" style="1"/>
    <col min="12803" max="12803" width="5.85546875" style="1" customWidth="1"/>
    <col min="12804" max="12804" width="25" style="1" customWidth="1"/>
    <col min="12805" max="12805" width="10" style="1" bestFit="1" customWidth="1"/>
    <col min="12806" max="12806" width="9.85546875" style="1" customWidth="1"/>
    <col min="12807" max="12807" width="10" style="1" bestFit="1" customWidth="1"/>
    <col min="12808" max="12808" width="9.85546875" style="1" customWidth="1"/>
    <col min="12809" max="12809" width="8.140625" style="1" customWidth="1"/>
    <col min="12810" max="12811" width="8.42578125" style="1" customWidth="1"/>
    <col min="12812" max="12813" width="9" style="1" customWidth="1"/>
    <col min="12814" max="12816" width="0" style="1" hidden="1" customWidth="1"/>
    <col min="12817" max="12817" width="9.85546875" style="1" customWidth="1"/>
    <col min="12818" max="12819" width="10.5703125" style="1" customWidth="1"/>
    <col min="12820" max="12820" width="10" style="1" customWidth="1"/>
    <col min="12821" max="12821" width="10.5703125" style="1" customWidth="1"/>
    <col min="12822" max="12822" width="9.28515625" style="1" customWidth="1"/>
    <col min="12823" max="12823" width="8.5703125" style="1" customWidth="1"/>
    <col min="12824" max="13058" width="9.140625" style="1"/>
    <col min="13059" max="13059" width="5.85546875" style="1" customWidth="1"/>
    <col min="13060" max="13060" width="25" style="1" customWidth="1"/>
    <col min="13061" max="13061" width="10" style="1" bestFit="1" customWidth="1"/>
    <col min="13062" max="13062" width="9.85546875" style="1" customWidth="1"/>
    <col min="13063" max="13063" width="10" style="1" bestFit="1" customWidth="1"/>
    <col min="13064" max="13064" width="9.85546875" style="1" customWidth="1"/>
    <col min="13065" max="13065" width="8.140625" style="1" customWidth="1"/>
    <col min="13066" max="13067" width="8.42578125" style="1" customWidth="1"/>
    <col min="13068" max="13069" width="9" style="1" customWidth="1"/>
    <col min="13070" max="13072" width="0" style="1" hidden="1" customWidth="1"/>
    <col min="13073" max="13073" width="9.85546875" style="1" customWidth="1"/>
    <col min="13074" max="13075" width="10.5703125" style="1" customWidth="1"/>
    <col min="13076" max="13076" width="10" style="1" customWidth="1"/>
    <col min="13077" max="13077" width="10.5703125" style="1" customWidth="1"/>
    <col min="13078" max="13078" width="9.28515625" style="1" customWidth="1"/>
    <col min="13079" max="13079" width="8.5703125" style="1" customWidth="1"/>
    <col min="13080" max="13314" width="9.140625" style="1"/>
    <col min="13315" max="13315" width="5.85546875" style="1" customWidth="1"/>
    <col min="13316" max="13316" width="25" style="1" customWidth="1"/>
    <col min="13317" max="13317" width="10" style="1" bestFit="1" customWidth="1"/>
    <col min="13318" max="13318" width="9.85546875" style="1" customWidth="1"/>
    <col min="13319" max="13319" width="10" style="1" bestFit="1" customWidth="1"/>
    <col min="13320" max="13320" width="9.85546875" style="1" customWidth="1"/>
    <col min="13321" max="13321" width="8.140625" style="1" customWidth="1"/>
    <col min="13322" max="13323" width="8.42578125" style="1" customWidth="1"/>
    <col min="13324" max="13325" width="9" style="1" customWidth="1"/>
    <col min="13326" max="13328" width="0" style="1" hidden="1" customWidth="1"/>
    <col min="13329" max="13329" width="9.85546875" style="1" customWidth="1"/>
    <col min="13330" max="13331" width="10.5703125" style="1" customWidth="1"/>
    <col min="13332" max="13332" width="10" style="1" customWidth="1"/>
    <col min="13333" max="13333" width="10.5703125" style="1" customWidth="1"/>
    <col min="13334" max="13334" width="9.28515625" style="1" customWidth="1"/>
    <col min="13335" max="13335" width="8.5703125" style="1" customWidth="1"/>
    <col min="13336" max="13570" width="9.140625" style="1"/>
    <col min="13571" max="13571" width="5.85546875" style="1" customWidth="1"/>
    <col min="13572" max="13572" width="25" style="1" customWidth="1"/>
    <col min="13573" max="13573" width="10" style="1" bestFit="1" customWidth="1"/>
    <col min="13574" max="13574" width="9.85546875" style="1" customWidth="1"/>
    <col min="13575" max="13575" width="10" style="1" bestFit="1" customWidth="1"/>
    <col min="13576" max="13576" width="9.85546875" style="1" customWidth="1"/>
    <col min="13577" max="13577" width="8.140625" style="1" customWidth="1"/>
    <col min="13578" max="13579" width="8.42578125" style="1" customWidth="1"/>
    <col min="13580" max="13581" width="9" style="1" customWidth="1"/>
    <col min="13582" max="13584" width="0" style="1" hidden="1" customWidth="1"/>
    <col min="13585" max="13585" width="9.85546875" style="1" customWidth="1"/>
    <col min="13586" max="13587" width="10.5703125" style="1" customWidth="1"/>
    <col min="13588" max="13588" width="10" style="1" customWidth="1"/>
    <col min="13589" max="13589" width="10.5703125" style="1" customWidth="1"/>
    <col min="13590" max="13590" width="9.28515625" style="1" customWidth="1"/>
    <col min="13591" max="13591" width="8.5703125" style="1" customWidth="1"/>
    <col min="13592" max="13826" width="9.140625" style="1"/>
    <col min="13827" max="13827" width="5.85546875" style="1" customWidth="1"/>
    <col min="13828" max="13828" width="25" style="1" customWidth="1"/>
    <col min="13829" max="13829" width="10" style="1" bestFit="1" customWidth="1"/>
    <col min="13830" max="13830" width="9.85546875" style="1" customWidth="1"/>
    <col min="13831" max="13831" width="10" style="1" bestFit="1" customWidth="1"/>
    <col min="13832" max="13832" width="9.85546875" style="1" customWidth="1"/>
    <col min="13833" max="13833" width="8.140625" style="1" customWidth="1"/>
    <col min="13834" max="13835" width="8.42578125" style="1" customWidth="1"/>
    <col min="13836" max="13837" width="9" style="1" customWidth="1"/>
    <col min="13838" max="13840" width="0" style="1" hidden="1" customWidth="1"/>
    <col min="13841" max="13841" width="9.85546875" style="1" customWidth="1"/>
    <col min="13842" max="13843" width="10.5703125" style="1" customWidth="1"/>
    <col min="13844" max="13844" width="10" style="1" customWidth="1"/>
    <col min="13845" max="13845" width="10.5703125" style="1" customWidth="1"/>
    <col min="13846" max="13846" width="9.28515625" style="1" customWidth="1"/>
    <col min="13847" max="13847" width="8.5703125" style="1" customWidth="1"/>
    <col min="13848" max="14082" width="9.140625" style="1"/>
    <col min="14083" max="14083" width="5.85546875" style="1" customWidth="1"/>
    <col min="14084" max="14084" width="25" style="1" customWidth="1"/>
    <col min="14085" max="14085" width="10" style="1" bestFit="1" customWidth="1"/>
    <col min="14086" max="14086" width="9.85546875" style="1" customWidth="1"/>
    <col min="14087" max="14087" width="10" style="1" bestFit="1" customWidth="1"/>
    <col min="14088" max="14088" width="9.85546875" style="1" customWidth="1"/>
    <col min="14089" max="14089" width="8.140625" style="1" customWidth="1"/>
    <col min="14090" max="14091" width="8.42578125" style="1" customWidth="1"/>
    <col min="14092" max="14093" width="9" style="1" customWidth="1"/>
    <col min="14094" max="14096" width="0" style="1" hidden="1" customWidth="1"/>
    <col min="14097" max="14097" width="9.85546875" style="1" customWidth="1"/>
    <col min="14098" max="14099" width="10.5703125" style="1" customWidth="1"/>
    <col min="14100" max="14100" width="10" style="1" customWidth="1"/>
    <col min="14101" max="14101" width="10.5703125" style="1" customWidth="1"/>
    <col min="14102" max="14102" width="9.28515625" style="1" customWidth="1"/>
    <col min="14103" max="14103" width="8.5703125" style="1" customWidth="1"/>
    <col min="14104" max="14338" width="9.140625" style="1"/>
    <col min="14339" max="14339" width="5.85546875" style="1" customWidth="1"/>
    <col min="14340" max="14340" width="25" style="1" customWidth="1"/>
    <col min="14341" max="14341" width="10" style="1" bestFit="1" customWidth="1"/>
    <col min="14342" max="14342" width="9.85546875" style="1" customWidth="1"/>
    <col min="14343" max="14343" width="10" style="1" bestFit="1" customWidth="1"/>
    <col min="14344" max="14344" width="9.85546875" style="1" customWidth="1"/>
    <col min="14345" max="14345" width="8.140625" style="1" customWidth="1"/>
    <col min="14346" max="14347" width="8.42578125" style="1" customWidth="1"/>
    <col min="14348" max="14349" width="9" style="1" customWidth="1"/>
    <col min="14350" max="14352" width="0" style="1" hidden="1" customWidth="1"/>
    <col min="14353" max="14353" width="9.85546875" style="1" customWidth="1"/>
    <col min="14354" max="14355" width="10.5703125" style="1" customWidth="1"/>
    <col min="14356" max="14356" width="10" style="1" customWidth="1"/>
    <col min="14357" max="14357" width="10.5703125" style="1" customWidth="1"/>
    <col min="14358" max="14358" width="9.28515625" style="1" customWidth="1"/>
    <col min="14359" max="14359" width="8.5703125" style="1" customWidth="1"/>
    <col min="14360" max="14594" width="9.140625" style="1"/>
    <col min="14595" max="14595" width="5.85546875" style="1" customWidth="1"/>
    <col min="14596" max="14596" width="25" style="1" customWidth="1"/>
    <col min="14597" max="14597" width="10" style="1" bestFit="1" customWidth="1"/>
    <col min="14598" max="14598" width="9.85546875" style="1" customWidth="1"/>
    <col min="14599" max="14599" width="10" style="1" bestFit="1" customWidth="1"/>
    <col min="14600" max="14600" width="9.85546875" style="1" customWidth="1"/>
    <col min="14601" max="14601" width="8.140625" style="1" customWidth="1"/>
    <col min="14602" max="14603" width="8.42578125" style="1" customWidth="1"/>
    <col min="14604" max="14605" width="9" style="1" customWidth="1"/>
    <col min="14606" max="14608" width="0" style="1" hidden="1" customWidth="1"/>
    <col min="14609" max="14609" width="9.85546875" style="1" customWidth="1"/>
    <col min="14610" max="14611" width="10.5703125" style="1" customWidth="1"/>
    <col min="14612" max="14612" width="10" style="1" customWidth="1"/>
    <col min="14613" max="14613" width="10.5703125" style="1" customWidth="1"/>
    <col min="14614" max="14614" width="9.28515625" style="1" customWidth="1"/>
    <col min="14615" max="14615" width="8.5703125" style="1" customWidth="1"/>
    <col min="14616" max="14850" width="9.140625" style="1"/>
    <col min="14851" max="14851" width="5.85546875" style="1" customWidth="1"/>
    <col min="14852" max="14852" width="25" style="1" customWidth="1"/>
    <col min="14853" max="14853" width="10" style="1" bestFit="1" customWidth="1"/>
    <col min="14854" max="14854" width="9.85546875" style="1" customWidth="1"/>
    <col min="14855" max="14855" width="10" style="1" bestFit="1" customWidth="1"/>
    <col min="14856" max="14856" width="9.85546875" style="1" customWidth="1"/>
    <col min="14857" max="14857" width="8.140625" style="1" customWidth="1"/>
    <col min="14858" max="14859" width="8.42578125" style="1" customWidth="1"/>
    <col min="14860" max="14861" width="9" style="1" customWidth="1"/>
    <col min="14862" max="14864" width="0" style="1" hidden="1" customWidth="1"/>
    <col min="14865" max="14865" width="9.85546875" style="1" customWidth="1"/>
    <col min="14866" max="14867" width="10.5703125" style="1" customWidth="1"/>
    <col min="14868" max="14868" width="10" style="1" customWidth="1"/>
    <col min="14869" max="14869" width="10.5703125" style="1" customWidth="1"/>
    <col min="14870" max="14870" width="9.28515625" style="1" customWidth="1"/>
    <col min="14871" max="14871" width="8.5703125" style="1" customWidth="1"/>
    <col min="14872" max="15106" width="9.140625" style="1"/>
    <col min="15107" max="15107" width="5.85546875" style="1" customWidth="1"/>
    <col min="15108" max="15108" width="25" style="1" customWidth="1"/>
    <col min="15109" max="15109" width="10" style="1" bestFit="1" customWidth="1"/>
    <col min="15110" max="15110" width="9.85546875" style="1" customWidth="1"/>
    <col min="15111" max="15111" width="10" style="1" bestFit="1" customWidth="1"/>
    <col min="15112" max="15112" width="9.85546875" style="1" customWidth="1"/>
    <col min="15113" max="15113" width="8.140625" style="1" customWidth="1"/>
    <col min="15114" max="15115" width="8.42578125" style="1" customWidth="1"/>
    <col min="15116" max="15117" width="9" style="1" customWidth="1"/>
    <col min="15118" max="15120" width="0" style="1" hidden="1" customWidth="1"/>
    <col min="15121" max="15121" width="9.85546875" style="1" customWidth="1"/>
    <col min="15122" max="15123" width="10.5703125" style="1" customWidth="1"/>
    <col min="15124" max="15124" width="10" style="1" customWidth="1"/>
    <col min="15125" max="15125" width="10.5703125" style="1" customWidth="1"/>
    <col min="15126" max="15126" width="9.28515625" style="1" customWidth="1"/>
    <col min="15127" max="15127" width="8.5703125" style="1" customWidth="1"/>
    <col min="15128" max="15362" width="9.140625" style="1"/>
    <col min="15363" max="15363" width="5.85546875" style="1" customWidth="1"/>
    <col min="15364" max="15364" width="25" style="1" customWidth="1"/>
    <col min="15365" max="15365" width="10" style="1" bestFit="1" customWidth="1"/>
    <col min="15366" max="15366" width="9.85546875" style="1" customWidth="1"/>
    <col min="15367" max="15367" width="10" style="1" bestFit="1" customWidth="1"/>
    <col min="15368" max="15368" width="9.85546875" style="1" customWidth="1"/>
    <col min="15369" max="15369" width="8.140625" style="1" customWidth="1"/>
    <col min="15370" max="15371" width="8.42578125" style="1" customWidth="1"/>
    <col min="15372" max="15373" width="9" style="1" customWidth="1"/>
    <col min="15374" max="15376" width="0" style="1" hidden="1" customWidth="1"/>
    <col min="15377" max="15377" width="9.85546875" style="1" customWidth="1"/>
    <col min="15378" max="15379" width="10.5703125" style="1" customWidth="1"/>
    <col min="15380" max="15380" width="10" style="1" customWidth="1"/>
    <col min="15381" max="15381" width="10.5703125" style="1" customWidth="1"/>
    <col min="15382" max="15382" width="9.28515625" style="1" customWidth="1"/>
    <col min="15383" max="15383" width="8.5703125" style="1" customWidth="1"/>
    <col min="15384" max="15618" width="9.140625" style="1"/>
    <col min="15619" max="15619" width="5.85546875" style="1" customWidth="1"/>
    <col min="15620" max="15620" width="25" style="1" customWidth="1"/>
    <col min="15621" max="15621" width="10" style="1" bestFit="1" customWidth="1"/>
    <col min="15622" max="15622" width="9.85546875" style="1" customWidth="1"/>
    <col min="15623" max="15623" width="10" style="1" bestFit="1" customWidth="1"/>
    <col min="15624" max="15624" width="9.85546875" style="1" customWidth="1"/>
    <col min="15625" max="15625" width="8.140625" style="1" customWidth="1"/>
    <col min="15626" max="15627" width="8.42578125" style="1" customWidth="1"/>
    <col min="15628" max="15629" width="9" style="1" customWidth="1"/>
    <col min="15630" max="15632" width="0" style="1" hidden="1" customWidth="1"/>
    <col min="15633" max="15633" width="9.85546875" style="1" customWidth="1"/>
    <col min="15634" max="15635" width="10.5703125" style="1" customWidth="1"/>
    <col min="15636" max="15636" width="10" style="1" customWidth="1"/>
    <col min="15637" max="15637" width="10.5703125" style="1" customWidth="1"/>
    <col min="15638" max="15638" width="9.28515625" style="1" customWidth="1"/>
    <col min="15639" max="15639" width="8.5703125" style="1" customWidth="1"/>
    <col min="15640" max="15874" width="9.140625" style="1"/>
    <col min="15875" max="15875" width="5.85546875" style="1" customWidth="1"/>
    <col min="15876" max="15876" width="25" style="1" customWidth="1"/>
    <col min="15877" max="15877" width="10" style="1" bestFit="1" customWidth="1"/>
    <col min="15878" max="15878" width="9.85546875" style="1" customWidth="1"/>
    <col min="15879" max="15879" width="10" style="1" bestFit="1" customWidth="1"/>
    <col min="15880" max="15880" width="9.85546875" style="1" customWidth="1"/>
    <col min="15881" max="15881" width="8.140625" style="1" customWidth="1"/>
    <col min="15882" max="15883" width="8.42578125" style="1" customWidth="1"/>
    <col min="15884" max="15885" width="9" style="1" customWidth="1"/>
    <col min="15886" max="15888" width="0" style="1" hidden="1" customWidth="1"/>
    <col min="15889" max="15889" width="9.85546875" style="1" customWidth="1"/>
    <col min="15890" max="15891" width="10.5703125" style="1" customWidth="1"/>
    <col min="15892" max="15892" width="10" style="1" customWidth="1"/>
    <col min="15893" max="15893" width="10.5703125" style="1" customWidth="1"/>
    <col min="15894" max="15894" width="9.28515625" style="1" customWidth="1"/>
    <col min="15895" max="15895" width="8.5703125" style="1" customWidth="1"/>
    <col min="15896" max="16130" width="9.140625" style="1"/>
    <col min="16131" max="16131" width="5.85546875" style="1" customWidth="1"/>
    <col min="16132" max="16132" width="25" style="1" customWidth="1"/>
    <col min="16133" max="16133" width="10" style="1" bestFit="1" customWidth="1"/>
    <col min="16134" max="16134" width="9.85546875" style="1" customWidth="1"/>
    <col min="16135" max="16135" width="10" style="1" bestFit="1" customWidth="1"/>
    <col min="16136" max="16136" width="9.85546875" style="1" customWidth="1"/>
    <col min="16137" max="16137" width="8.140625" style="1" customWidth="1"/>
    <col min="16138" max="16139" width="8.42578125" style="1" customWidth="1"/>
    <col min="16140" max="16141" width="9" style="1" customWidth="1"/>
    <col min="16142" max="16144" width="0" style="1" hidden="1" customWidth="1"/>
    <col min="16145" max="16145" width="9.85546875" style="1" customWidth="1"/>
    <col min="16146" max="16147" width="10.5703125" style="1" customWidth="1"/>
    <col min="16148" max="16148" width="10" style="1" customWidth="1"/>
    <col min="16149" max="16149" width="10.5703125" style="1" customWidth="1"/>
    <col min="16150" max="16150" width="9.28515625" style="1" customWidth="1"/>
    <col min="16151" max="16151" width="8.5703125" style="1" customWidth="1"/>
    <col min="16152" max="16384" width="9.140625" style="1"/>
  </cols>
  <sheetData>
    <row r="1" spans="1:23" hidden="1" x14ac:dyDescent="0.2">
      <c r="A1" s="1" t="s">
        <v>0</v>
      </c>
    </row>
    <row r="2" spans="1:23" hidden="1" x14ac:dyDescent="0.2">
      <c r="A2" s="9" t="s">
        <v>1</v>
      </c>
      <c r="B2" s="9"/>
    </row>
    <row r="3" spans="1:23" x14ac:dyDescent="0.2">
      <c r="A3" s="10"/>
      <c r="B3" s="10" t="s">
        <v>2</v>
      </c>
    </row>
    <row r="4" spans="1:23" ht="15" customHeight="1" x14ac:dyDescent="0.2">
      <c r="A4" s="11" t="s">
        <v>3</v>
      </c>
      <c r="B4" s="11"/>
      <c r="C4" s="12"/>
      <c r="D4" s="13"/>
      <c r="E4" s="13"/>
      <c r="F4" s="13"/>
      <c r="G4" s="14"/>
      <c r="L4" s="15"/>
      <c r="M4" s="15"/>
    </row>
    <row r="5" spans="1:23" ht="15" customHeight="1" x14ac:dyDescent="0.2">
      <c r="A5" s="16" t="s">
        <v>4</v>
      </c>
      <c r="B5" s="16"/>
      <c r="C5" s="16"/>
      <c r="D5" s="16"/>
      <c r="E5" s="16"/>
      <c r="F5" s="16"/>
      <c r="G5" s="16"/>
      <c r="H5" s="8"/>
      <c r="I5" s="8"/>
      <c r="J5" s="8"/>
      <c r="K5" s="8"/>
      <c r="L5" s="8"/>
      <c r="M5" s="8"/>
      <c r="N5" s="8"/>
      <c r="O5" s="5"/>
      <c r="P5" s="5"/>
    </row>
    <row r="6" spans="1:23" ht="15" customHeight="1" x14ac:dyDescent="0.2">
      <c r="A6" s="17" t="s">
        <v>5</v>
      </c>
      <c r="B6" s="17"/>
      <c r="C6" s="18"/>
      <c r="D6" s="19"/>
      <c r="E6" s="19"/>
      <c r="F6" s="19"/>
      <c r="G6" s="20"/>
      <c r="H6" s="21" t="s">
        <v>6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12" thickBot="1" x14ac:dyDescent="0.25">
      <c r="A7" s="23"/>
      <c r="B7" s="23"/>
    </row>
    <row r="8" spans="1:23" ht="13.9" customHeight="1" thickBot="1" x14ac:dyDescent="0.25">
      <c r="A8" s="24"/>
      <c r="B8" s="25"/>
      <c r="C8" s="26"/>
      <c r="D8" s="27"/>
      <c r="E8" s="28"/>
      <c r="F8" s="28"/>
      <c r="G8" s="29" t="s">
        <v>7</v>
      </c>
      <c r="H8" s="30"/>
      <c r="I8" s="30"/>
      <c r="J8" s="30"/>
      <c r="K8" s="30"/>
      <c r="L8" s="30"/>
      <c r="M8" s="30"/>
      <c r="N8" s="30"/>
      <c r="O8" s="30"/>
      <c r="P8" s="30"/>
      <c r="Q8" s="31"/>
      <c r="R8" s="29" t="s">
        <v>8</v>
      </c>
      <c r="S8" s="30"/>
      <c r="T8" s="30"/>
      <c r="U8" s="30"/>
      <c r="V8" s="30"/>
      <c r="W8" s="31"/>
    </row>
    <row r="9" spans="1:23" ht="46.5" customHeight="1" x14ac:dyDescent="0.2">
      <c r="A9" s="32"/>
      <c r="B9" s="33" t="s">
        <v>9</v>
      </c>
      <c r="C9" s="34" t="s">
        <v>10</v>
      </c>
      <c r="D9" s="35" t="s">
        <v>11</v>
      </c>
      <c r="E9" s="36" t="s">
        <v>12</v>
      </c>
      <c r="F9" s="36" t="s">
        <v>13</v>
      </c>
      <c r="G9" s="37" t="s">
        <v>14</v>
      </c>
      <c r="H9" s="38" t="s">
        <v>15</v>
      </c>
      <c r="I9" s="38" t="s">
        <v>16</v>
      </c>
      <c r="J9" s="38" t="s">
        <v>17</v>
      </c>
      <c r="K9" s="38" t="s">
        <v>18</v>
      </c>
      <c r="L9" s="39" t="s">
        <v>19</v>
      </c>
      <c r="M9" s="40" t="s">
        <v>20</v>
      </c>
      <c r="N9" s="38" t="s">
        <v>21</v>
      </c>
      <c r="O9" s="38" t="s">
        <v>22</v>
      </c>
      <c r="P9" s="41"/>
      <c r="Q9" s="42" t="s">
        <v>23</v>
      </c>
      <c r="R9" s="43" t="s">
        <v>24</v>
      </c>
      <c r="S9" s="44" t="s">
        <v>20</v>
      </c>
      <c r="T9" s="45" t="s">
        <v>25</v>
      </c>
      <c r="U9" s="46" t="s">
        <v>26</v>
      </c>
      <c r="V9" s="47" t="s">
        <v>27</v>
      </c>
      <c r="W9" s="48" t="s">
        <v>28</v>
      </c>
    </row>
    <row r="10" spans="1:23" x14ac:dyDescent="0.2">
      <c r="A10" s="49">
        <v>1</v>
      </c>
      <c r="B10" s="50">
        <v>2</v>
      </c>
      <c r="C10" s="51">
        <v>3</v>
      </c>
      <c r="D10" s="52">
        <v>3</v>
      </c>
      <c r="E10" s="53">
        <v>4</v>
      </c>
      <c r="F10" s="53">
        <v>5</v>
      </c>
      <c r="G10" s="54">
        <v>6</v>
      </c>
      <c r="H10" s="55">
        <v>7</v>
      </c>
      <c r="I10" s="55">
        <v>8</v>
      </c>
      <c r="J10" s="55">
        <v>9</v>
      </c>
      <c r="K10" s="55">
        <v>10</v>
      </c>
      <c r="L10" s="56">
        <v>11</v>
      </c>
      <c r="M10" s="57">
        <v>12</v>
      </c>
      <c r="N10" s="55" t="s">
        <v>29</v>
      </c>
      <c r="O10" s="58" t="s">
        <v>30</v>
      </c>
      <c r="P10" s="59"/>
      <c r="Q10" s="60">
        <v>13</v>
      </c>
      <c r="R10" s="53">
        <v>14</v>
      </c>
      <c r="S10" s="57">
        <v>15</v>
      </c>
      <c r="T10" s="61">
        <v>16</v>
      </c>
      <c r="U10" s="62">
        <v>17</v>
      </c>
      <c r="V10" s="63">
        <v>18</v>
      </c>
      <c r="W10" s="64">
        <v>19</v>
      </c>
    </row>
    <row r="11" spans="1:23" ht="12.2" customHeight="1" x14ac:dyDescent="0.2">
      <c r="A11" s="65">
        <v>3111</v>
      </c>
      <c r="B11" s="66" t="s">
        <v>31</v>
      </c>
      <c r="C11" s="67">
        <v>4873839.6500000004</v>
      </c>
      <c r="D11" s="68">
        <v>4862351.7</v>
      </c>
      <c r="E11" s="69">
        <v>4961976.09</v>
      </c>
      <c r="F11" s="69">
        <v>4911774.37</v>
      </c>
      <c r="G11" s="70">
        <v>2967060</v>
      </c>
      <c r="H11" s="71">
        <v>1044152</v>
      </c>
      <c r="I11" s="71">
        <f>L11*0.23-1</f>
        <v>421322.2</v>
      </c>
      <c r="J11" s="71">
        <f>L11*0.14-1</f>
        <v>256456.60000000003</v>
      </c>
      <c r="K11" s="71">
        <f>L11*0.06</f>
        <v>109910.39999999999</v>
      </c>
      <c r="L11" s="72">
        <f>Q11-G11-M11</f>
        <v>1831840</v>
      </c>
      <c r="M11" s="73">
        <v>0</v>
      </c>
      <c r="N11" s="71">
        <v>5253000</v>
      </c>
      <c r="O11" s="74">
        <v>5410000</v>
      </c>
      <c r="P11" s="75">
        <f>1647219+1242640+1075766+968470</f>
        <v>4934095</v>
      </c>
      <c r="Q11" s="76">
        <v>4798900</v>
      </c>
      <c r="R11" s="69">
        <v>4699905.21</v>
      </c>
      <c r="S11" s="77">
        <v>0</v>
      </c>
      <c r="T11" s="78">
        <f>G11</f>
        <v>2967060</v>
      </c>
      <c r="U11" s="79">
        <f>R11-S11-T11</f>
        <v>1732845.21</v>
      </c>
      <c r="V11" s="80">
        <f t="shared" ref="V11:V59" si="0">R11/Q11*100</f>
        <v>97.937135801954611</v>
      </c>
      <c r="W11" s="81">
        <f>R11/F11*100</f>
        <v>95.686504630708441</v>
      </c>
    </row>
    <row r="12" spans="1:23" ht="12.2" customHeight="1" x14ac:dyDescent="0.2">
      <c r="A12" s="82">
        <v>311</v>
      </c>
      <c r="B12" s="83" t="s">
        <v>32</v>
      </c>
      <c r="C12" s="84">
        <f>C11</f>
        <v>4873839.6500000004</v>
      </c>
      <c r="D12" s="85">
        <f>D11</f>
        <v>4862351.7</v>
      </c>
      <c r="E12" s="86">
        <f>E11</f>
        <v>4961976.09</v>
      </c>
      <c r="F12" s="86">
        <f>F11</f>
        <v>4911774.37</v>
      </c>
      <c r="G12" s="87">
        <f t="shared" ref="G12:O12" si="1">G11</f>
        <v>2967060</v>
      </c>
      <c r="H12" s="88">
        <f t="shared" si="1"/>
        <v>1044152</v>
      </c>
      <c r="I12" s="88">
        <f t="shared" si="1"/>
        <v>421322.2</v>
      </c>
      <c r="J12" s="88">
        <f t="shared" si="1"/>
        <v>256456.60000000003</v>
      </c>
      <c r="K12" s="88">
        <f t="shared" si="1"/>
        <v>109910.39999999999</v>
      </c>
      <c r="L12" s="89">
        <f t="shared" si="1"/>
        <v>1831840</v>
      </c>
      <c r="M12" s="90">
        <f t="shared" si="1"/>
        <v>0</v>
      </c>
      <c r="N12" s="91">
        <f t="shared" si="1"/>
        <v>5253000</v>
      </c>
      <c r="O12" s="92">
        <f t="shared" si="1"/>
        <v>5410000</v>
      </c>
      <c r="P12" s="93"/>
      <c r="Q12" s="94">
        <f>Q11</f>
        <v>4798900</v>
      </c>
      <c r="R12" s="86">
        <f>R11</f>
        <v>4699905.21</v>
      </c>
      <c r="S12" s="95">
        <f>S11</f>
        <v>0</v>
      </c>
      <c r="T12" s="96">
        <f t="shared" ref="T12" si="2">T11</f>
        <v>2967060</v>
      </c>
      <c r="U12" s="97">
        <f>U11</f>
        <v>1732845.21</v>
      </c>
      <c r="V12" s="98">
        <f t="shared" si="0"/>
        <v>97.937135801954611</v>
      </c>
      <c r="W12" s="99">
        <f t="shared" ref="W12:W59" si="3">R12/F12*100</f>
        <v>95.686504630708441</v>
      </c>
    </row>
    <row r="13" spans="1:23" ht="12.2" customHeight="1" x14ac:dyDescent="0.2">
      <c r="A13" s="65">
        <v>3131</v>
      </c>
      <c r="B13" s="66" t="s">
        <v>33</v>
      </c>
      <c r="C13" s="67">
        <v>381306.58</v>
      </c>
      <c r="D13" s="68">
        <v>377284.75</v>
      </c>
      <c r="E13" s="69">
        <v>378056.32</v>
      </c>
      <c r="F13" s="69">
        <v>374377.13</v>
      </c>
      <c r="G13" s="100">
        <v>241730</v>
      </c>
      <c r="H13" s="71">
        <f>L13*0.57</f>
        <v>72201.899999999994</v>
      </c>
      <c r="I13" s="71">
        <f>L13*0.23</f>
        <v>29134.100000000002</v>
      </c>
      <c r="J13" s="71">
        <f>L13*0.14</f>
        <v>17733.800000000003</v>
      </c>
      <c r="K13" s="71">
        <f>L13*0.06</f>
        <v>7600.2</v>
      </c>
      <c r="L13" s="72">
        <f>Q13-G13-M13</f>
        <v>126670</v>
      </c>
      <c r="M13" s="73">
        <v>0</v>
      </c>
      <c r="N13" s="71">
        <v>412000</v>
      </c>
      <c r="O13" s="74">
        <v>424000</v>
      </c>
      <c r="P13" s="75"/>
      <c r="Q13" s="101">
        <v>368400</v>
      </c>
      <c r="R13" s="69">
        <v>355760.77</v>
      </c>
      <c r="S13" s="77">
        <v>0</v>
      </c>
      <c r="T13" s="78">
        <f>G13</f>
        <v>241730</v>
      </c>
      <c r="U13" s="79">
        <f>R13-S13-T13</f>
        <v>114030.77000000002</v>
      </c>
      <c r="V13" s="80">
        <f t="shared" si="0"/>
        <v>96.569155808903375</v>
      </c>
      <c r="W13" s="81">
        <f t="shared" si="3"/>
        <v>95.027377874284142</v>
      </c>
    </row>
    <row r="14" spans="1:23" ht="12.2" customHeight="1" x14ac:dyDescent="0.2">
      <c r="A14" s="65">
        <v>3132</v>
      </c>
      <c r="B14" s="102" t="s">
        <v>34</v>
      </c>
      <c r="C14" s="67">
        <v>757099.11</v>
      </c>
      <c r="D14" s="68">
        <v>730720.11</v>
      </c>
      <c r="E14" s="69">
        <v>738559.41</v>
      </c>
      <c r="F14" s="69">
        <v>762291.98</v>
      </c>
      <c r="G14" s="100">
        <v>508720</v>
      </c>
      <c r="H14" s="71">
        <f>L14*0.57</f>
        <v>137358.59999999998</v>
      </c>
      <c r="I14" s="71">
        <f>L14*0.23</f>
        <v>55425.4</v>
      </c>
      <c r="J14" s="71">
        <f>L14*0.14</f>
        <v>33737.200000000004</v>
      </c>
      <c r="K14" s="71">
        <f>L14*0.06</f>
        <v>14458.8</v>
      </c>
      <c r="L14" s="72">
        <f>Q14-G14-M14</f>
        <v>240980</v>
      </c>
      <c r="M14" s="73">
        <v>0</v>
      </c>
      <c r="N14" s="71">
        <v>814200</v>
      </c>
      <c r="O14" s="74">
        <v>838600</v>
      </c>
      <c r="P14" s="75"/>
      <c r="Q14" s="101">
        <v>749700</v>
      </c>
      <c r="R14" s="69">
        <v>728043.93</v>
      </c>
      <c r="S14" s="77">
        <v>0</v>
      </c>
      <c r="T14" s="78">
        <f>G14</f>
        <v>508720</v>
      </c>
      <c r="U14" s="79">
        <f>R14-S14-T14</f>
        <v>219323.93000000005</v>
      </c>
      <c r="V14" s="80">
        <f t="shared" si="0"/>
        <v>97.111368547418977</v>
      </c>
      <c r="W14" s="81">
        <f t="shared" si="3"/>
        <v>95.507226771558067</v>
      </c>
    </row>
    <row r="15" spans="1:23" ht="12.2" customHeight="1" x14ac:dyDescent="0.2">
      <c r="A15" s="65">
        <v>3133</v>
      </c>
      <c r="B15" s="66" t="s">
        <v>35</v>
      </c>
      <c r="C15" s="67">
        <v>83036.72</v>
      </c>
      <c r="D15" s="68">
        <v>80143.539999999994</v>
      </c>
      <c r="E15" s="69">
        <v>81003.12</v>
      </c>
      <c r="F15" s="69">
        <v>6442.51</v>
      </c>
      <c r="G15" s="100">
        <v>0</v>
      </c>
      <c r="H15" s="71">
        <v>0</v>
      </c>
      <c r="I15" s="71">
        <v>0</v>
      </c>
      <c r="J15" s="71">
        <v>0</v>
      </c>
      <c r="K15" s="71">
        <v>0</v>
      </c>
      <c r="L15" s="72">
        <f>Q15-G15-M15</f>
        <v>0</v>
      </c>
      <c r="M15" s="73">
        <v>0</v>
      </c>
      <c r="N15" s="71">
        <v>89300</v>
      </c>
      <c r="O15" s="74">
        <v>92000</v>
      </c>
      <c r="P15" s="75"/>
      <c r="Q15" s="101">
        <v>0</v>
      </c>
      <c r="R15" s="69">
        <v>0</v>
      </c>
      <c r="S15" s="77">
        <v>0</v>
      </c>
      <c r="T15" s="78">
        <f>G15</f>
        <v>0</v>
      </c>
      <c r="U15" s="79">
        <f>R15-S15-T15</f>
        <v>0</v>
      </c>
      <c r="V15" s="80">
        <v>0</v>
      </c>
      <c r="W15" s="81">
        <f t="shared" si="3"/>
        <v>0</v>
      </c>
    </row>
    <row r="16" spans="1:23" ht="12.2" customHeight="1" x14ac:dyDescent="0.2">
      <c r="A16" s="82">
        <v>313</v>
      </c>
      <c r="B16" s="83" t="s">
        <v>36</v>
      </c>
      <c r="C16" s="84">
        <f>SUM(C13:C15)</f>
        <v>1221442.4099999999</v>
      </c>
      <c r="D16" s="85">
        <f>SUM(D13:D15)</f>
        <v>1188148.3999999999</v>
      </c>
      <c r="E16" s="86">
        <f>SUM(E13:E15)</f>
        <v>1197618.8500000001</v>
      </c>
      <c r="F16" s="86">
        <f>SUM(F13:F15)</f>
        <v>1143111.6199999999</v>
      </c>
      <c r="G16" s="87">
        <f>G13+G14+G15</f>
        <v>750450</v>
      </c>
      <c r="H16" s="88">
        <f t="shared" ref="H16:O16" si="4">SUM(H13:H15)</f>
        <v>209560.49999999997</v>
      </c>
      <c r="I16" s="88">
        <f t="shared" si="4"/>
        <v>84559.5</v>
      </c>
      <c r="J16" s="88">
        <f t="shared" si="4"/>
        <v>51471.000000000007</v>
      </c>
      <c r="K16" s="88">
        <f t="shared" si="4"/>
        <v>22059</v>
      </c>
      <c r="L16" s="89">
        <f t="shared" si="4"/>
        <v>367650</v>
      </c>
      <c r="M16" s="90">
        <f t="shared" si="4"/>
        <v>0</v>
      </c>
      <c r="N16" s="91">
        <f t="shared" si="4"/>
        <v>1315500</v>
      </c>
      <c r="O16" s="92">
        <f t="shared" si="4"/>
        <v>1354600</v>
      </c>
      <c r="P16" s="93"/>
      <c r="Q16" s="94">
        <f>SUM(Q13:Q15)</f>
        <v>1118100</v>
      </c>
      <c r="R16" s="86">
        <f>SUM(R13:R15)</f>
        <v>1083804.7000000002</v>
      </c>
      <c r="S16" s="95">
        <f>SUM(S13:S15)</f>
        <v>0</v>
      </c>
      <c r="T16" s="96">
        <f t="shared" ref="T16" si="5">SUM(T13:T15)</f>
        <v>750450</v>
      </c>
      <c r="U16" s="97">
        <f>SUM(U13:U15)</f>
        <v>333354.70000000007</v>
      </c>
      <c r="V16" s="98">
        <f t="shared" si="0"/>
        <v>96.932716215007616</v>
      </c>
      <c r="W16" s="99">
        <f t="shared" si="3"/>
        <v>94.811799743580622</v>
      </c>
    </row>
    <row r="17" spans="1:23" ht="12.2" customHeight="1" x14ac:dyDescent="0.2">
      <c r="A17" s="65">
        <v>3121</v>
      </c>
      <c r="B17" s="102" t="s">
        <v>37</v>
      </c>
      <c r="C17" s="103">
        <v>482178.12</v>
      </c>
      <c r="D17" s="104">
        <v>594402.43999999994</v>
      </c>
      <c r="E17" s="105">
        <v>413734.88</v>
      </c>
      <c r="F17" s="105">
        <v>669362.31999999995</v>
      </c>
      <c r="G17" s="100">
        <v>71620</v>
      </c>
      <c r="H17" s="71">
        <v>369581</v>
      </c>
      <c r="I17" s="71">
        <f>L17*0.23-2</f>
        <v>149125.4</v>
      </c>
      <c r="J17" s="71">
        <f>L17*0.14-1</f>
        <v>90772.200000000012</v>
      </c>
      <c r="K17" s="71">
        <f>L17*0.06-1</f>
        <v>38901.799999999996</v>
      </c>
      <c r="L17" s="106">
        <f>Q17-G17-M17</f>
        <v>648380</v>
      </c>
      <c r="M17" s="107">
        <v>0</v>
      </c>
      <c r="N17" s="108">
        <v>499600</v>
      </c>
      <c r="O17" s="109">
        <v>407600</v>
      </c>
      <c r="P17" s="110"/>
      <c r="Q17" s="101">
        <v>720000</v>
      </c>
      <c r="R17" s="105">
        <v>684113.39</v>
      </c>
      <c r="S17" s="111">
        <v>0</v>
      </c>
      <c r="T17" s="112">
        <f>G17</f>
        <v>71620</v>
      </c>
      <c r="U17" s="113">
        <f>R17-S17-T17</f>
        <v>612493.39</v>
      </c>
      <c r="V17" s="114">
        <f t="shared" si="0"/>
        <v>95.015748611111121</v>
      </c>
      <c r="W17" s="81">
        <f t="shared" si="3"/>
        <v>102.20374968223489</v>
      </c>
    </row>
    <row r="18" spans="1:23" ht="12.2" customHeight="1" x14ac:dyDescent="0.2">
      <c r="A18" s="82">
        <v>312</v>
      </c>
      <c r="B18" s="83" t="s">
        <v>38</v>
      </c>
      <c r="C18" s="115">
        <f>C17</f>
        <v>482178.12</v>
      </c>
      <c r="D18" s="116">
        <f>D17</f>
        <v>594402.43999999994</v>
      </c>
      <c r="E18" s="117">
        <f>E17</f>
        <v>413734.88</v>
      </c>
      <c r="F18" s="117">
        <f>F17</f>
        <v>669362.31999999995</v>
      </c>
      <c r="G18" s="87">
        <f t="shared" ref="G18:O18" si="6">G17</f>
        <v>71620</v>
      </c>
      <c r="H18" s="118">
        <f t="shared" si="6"/>
        <v>369581</v>
      </c>
      <c r="I18" s="118">
        <f t="shared" si="6"/>
        <v>149125.4</v>
      </c>
      <c r="J18" s="118">
        <f t="shared" si="6"/>
        <v>90772.200000000012</v>
      </c>
      <c r="K18" s="118">
        <f t="shared" si="6"/>
        <v>38901.799999999996</v>
      </c>
      <c r="L18" s="119">
        <f t="shared" si="6"/>
        <v>648380</v>
      </c>
      <c r="M18" s="120">
        <f t="shared" si="6"/>
        <v>0</v>
      </c>
      <c r="N18" s="121">
        <f t="shared" si="6"/>
        <v>499600</v>
      </c>
      <c r="O18" s="122">
        <f t="shared" si="6"/>
        <v>407600</v>
      </c>
      <c r="P18" s="123"/>
      <c r="Q18" s="94">
        <f>Q17</f>
        <v>720000</v>
      </c>
      <c r="R18" s="117">
        <f>R17</f>
        <v>684113.39</v>
      </c>
      <c r="S18" s="124">
        <f>S17</f>
        <v>0</v>
      </c>
      <c r="T18" s="125">
        <f t="shared" ref="T18" si="7">T17</f>
        <v>71620</v>
      </c>
      <c r="U18" s="126">
        <f>U17</f>
        <v>612493.39</v>
      </c>
      <c r="V18" s="127">
        <f t="shared" si="0"/>
        <v>95.015748611111121</v>
      </c>
      <c r="W18" s="99">
        <f t="shared" si="3"/>
        <v>102.20374968223489</v>
      </c>
    </row>
    <row r="19" spans="1:23" x14ac:dyDescent="0.2">
      <c r="A19" s="128">
        <v>31</v>
      </c>
      <c r="B19" s="129" t="s">
        <v>39</v>
      </c>
      <c r="C19" s="130">
        <f>C11+C13+C14+C15+C17</f>
        <v>6577460.1800000006</v>
      </c>
      <c r="D19" s="131">
        <f>D11+D13+D14+D15+D17</f>
        <v>6644902.540000001</v>
      </c>
      <c r="E19" s="132">
        <f>E11+E13+E14+E15+E17</f>
        <v>6573329.8200000003</v>
      </c>
      <c r="F19" s="132">
        <f>F11+F13+F14+F15+F17</f>
        <v>6724248.3100000005</v>
      </c>
      <c r="G19" s="133">
        <f t="shared" ref="G19:O19" si="8">G11+G13+G14+G15+G17</f>
        <v>3789130</v>
      </c>
      <c r="H19" s="134">
        <f t="shared" si="8"/>
        <v>1623293.5</v>
      </c>
      <c r="I19" s="134">
        <f t="shared" si="8"/>
        <v>655007.1</v>
      </c>
      <c r="J19" s="134">
        <f>J11+J13+J14+J15+J17</f>
        <v>398699.80000000005</v>
      </c>
      <c r="K19" s="134">
        <f>K11+K13+K14+K15+K17-1</f>
        <v>170870.19999999998</v>
      </c>
      <c r="L19" s="135">
        <f>L11+L13+L14+L15+L17</f>
        <v>2847870</v>
      </c>
      <c r="M19" s="136">
        <f t="shared" si="8"/>
        <v>0</v>
      </c>
      <c r="N19" s="137">
        <f t="shared" si="8"/>
        <v>7068100</v>
      </c>
      <c r="O19" s="138">
        <f t="shared" si="8"/>
        <v>7172200</v>
      </c>
      <c r="P19" s="139"/>
      <c r="Q19" s="94">
        <f>Q11+Q13+Q14+Q15+Q17</f>
        <v>6637000</v>
      </c>
      <c r="R19" s="132">
        <f>R11+R13+R14+R15+R17</f>
        <v>6467823.2999999998</v>
      </c>
      <c r="S19" s="140">
        <f>S11+S13+S14+S15+S17</f>
        <v>0</v>
      </c>
      <c r="T19" s="141">
        <f t="shared" ref="T19" si="9">T11+T13+T14+T15+T17</f>
        <v>3789130</v>
      </c>
      <c r="U19" s="142">
        <f>U11+U13+U14+U15+U17</f>
        <v>2678693.3000000003</v>
      </c>
      <c r="V19" s="143">
        <f t="shared" si="0"/>
        <v>97.451006478830791</v>
      </c>
      <c r="W19" s="144">
        <f t="shared" si="3"/>
        <v>96.186562450130566</v>
      </c>
    </row>
    <row r="20" spans="1:23" ht="12.2" customHeight="1" x14ac:dyDescent="0.2">
      <c r="A20" s="65">
        <v>3211</v>
      </c>
      <c r="B20" s="66" t="s">
        <v>40</v>
      </c>
      <c r="C20" s="145">
        <v>2017.57</v>
      </c>
      <c r="D20" s="146">
        <v>8833.02</v>
      </c>
      <c r="E20" s="147">
        <v>19050.52</v>
      </c>
      <c r="F20" s="147">
        <v>9861.84</v>
      </c>
      <c r="G20" s="100">
        <v>0</v>
      </c>
      <c r="H20" s="148">
        <f>L20*0.57+1</f>
        <v>4390</v>
      </c>
      <c r="I20" s="148">
        <f>L20*0.23-1</f>
        <v>1770</v>
      </c>
      <c r="J20" s="148">
        <f>L20*0.14</f>
        <v>1078</v>
      </c>
      <c r="K20" s="148">
        <f>L20*0.06</f>
        <v>462</v>
      </c>
      <c r="L20" s="149">
        <f>Q20-G20-M20</f>
        <v>7700</v>
      </c>
      <c r="M20" s="150">
        <v>0</v>
      </c>
      <c r="N20" s="148">
        <v>15000</v>
      </c>
      <c r="O20" s="148">
        <v>15000</v>
      </c>
      <c r="P20" s="151"/>
      <c r="Q20" s="101">
        <v>7700</v>
      </c>
      <c r="R20" s="147">
        <v>480</v>
      </c>
      <c r="S20" s="152">
        <v>0</v>
      </c>
      <c r="T20" s="153">
        <f>G20</f>
        <v>0</v>
      </c>
      <c r="U20" s="154">
        <f>R20-S20-T20</f>
        <v>480</v>
      </c>
      <c r="V20" s="155">
        <f t="shared" si="0"/>
        <v>6.2337662337662341</v>
      </c>
      <c r="W20" s="81">
        <f t="shared" si="3"/>
        <v>4.8672458689250684</v>
      </c>
    </row>
    <row r="21" spans="1:23" ht="12.2" customHeight="1" x14ac:dyDescent="0.2">
      <c r="A21" s="65">
        <v>3212</v>
      </c>
      <c r="B21" s="102" t="s">
        <v>41</v>
      </c>
      <c r="C21" s="67">
        <v>135740.32999999999</v>
      </c>
      <c r="D21" s="68">
        <v>153130.56</v>
      </c>
      <c r="E21" s="69">
        <v>141889.81</v>
      </c>
      <c r="F21" s="69">
        <v>146370.32999999999</v>
      </c>
      <c r="G21" s="100">
        <f>76189-157</f>
        <v>76032</v>
      </c>
      <c r="H21" s="71">
        <f>L21*0.57</f>
        <v>38000.759999999995</v>
      </c>
      <c r="I21" s="71">
        <f>L21*0.23</f>
        <v>15333.640000000001</v>
      </c>
      <c r="J21" s="71">
        <f>L21*0.14</f>
        <v>9333.52</v>
      </c>
      <c r="K21" s="71">
        <f>L21*0.06</f>
        <v>4000.08</v>
      </c>
      <c r="L21" s="72">
        <f>Q21-G21-M21</f>
        <v>66668</v>
      </c>
      <c r="M21" s="73">
        <v>0</v>
      </c>
      <c r="N21" s="71">
        <v>143000</v>
      </c>
      <c r="O21" s="71">
        <v>143000</v>
      </c>
      <c r="P21" s="156"/>
      <c r="Q21" s="157">
        <f>144000-1300</f>
        <v>142700</v>
      </c>
      <c r="R21" s="69">
        <v>140574.34</v>
      </c>
      <c r="S21" s="77">
        <v>0</v>
      </c>
      <c r="T21" s="153">
        <f t="shared" ref="T21:T22" si="10">G21</f>
        <v>76032</v>
      </c>
      <c r="U21" s="79">
        <f>R21-S21-T21</f>
        <v>64542.34</v>
      </c>
      <c r="V21" s="80">
        <f t="shared" si="0"/>
        <v>98.51039943938332</v>
      </c>
      <c r="W21" s="81">
        <f t="shared" si="3"/>
        <v>96.040187926063979</v>
      </c>
    </row>
    <row r="22" spans="1:23" ht="12.2" customHeight="1" x14ac:dyDescent="0.2">
      <c r="A22" s="65">
        <v>3213</v>
      </c>
      <c r="B22" s="66" t="s">
        <v>42</v>
      </c>
      <c r="C22" s="67">
        <v>18000</v>
      </c>
      <c r="D22" s="68">
        <v>32061.19</v>
      </c>
      <c r="E22" s="69">
        <v>14442.83</v>
      </c>
      <c r="F22" s="69">
        <v>21150.799999999999</v>
      </c>
      <c r="G22" s="100">
        <v>0</v>
      </c>
      <c r="H22" s="71">
        <f>L22*0.57</f>
        <v>9120</v>
      </c>
      <c r="I22" s="71">
        <f>L22*0.23</f>
        <v>3680</v>
      </c>
      <c r="J22" s="71">
        <f>L22*0.14</f>
        <v>2240</v>
      </c>
      <c r="K22" s="71">
        <f>L22*0.06</f>
        <v>960</v>
      </c>
      <c r="L22" s="72">
        <f>Q22-G22-M22</f>
        <v>16000</v>
      </c>
      <c r="M22" s="73">
        <v>1000</v>
      </c>
      <c r="N22" s="71">
        <v>30000</v>
      </c>
      <c r="O22" s="71">
        <v>30000</v>
      </c>
      <c r="P22" s="156"/>
      <c r="Q22" s="101">
        <v>17000</v>
      </c>
      <c r="R22" s="69">
        <v>16939.13</v>
      </c>
      <c r="S22" s="77">
        <f>M22</f>
        <v>1000</v>
      </c>
      <c r="T22" s="153">
        <f t="shared" si="10"/>
        <v>0</v>
      </c>
      <c r="U22" s="79">
        <f>R22-S22-T22</f>
        <v>15939.130000000001</v>
      </c>
      <c r="V22" s="80">
        <f t="shared" si="0"/>
        <v>99.641941176470596</v>
      </c>
      <c r="W22" s="81">
        <f t="shared" si="3"/>
        <v>80.087419861187286</v>
      </c>
    </row>
    <row r="23" spans="1:23" ht="12.2" customHeight="1" x14ac:dyDescent="0.2">
      <c r="A23" s="82">
        <v>321</v>
      </c>
      <c r="B23" s="83" t="s">
        <v>43</v>
      </c>
      <c r="C23" s="84">
        <f>SUM(C20:C22)</f>
        <v>155757.9</v>
      </c>
      <c r="D23" s="85">
        <f>SUM(D20:D22)</f>
        <v>194024.77</v>
      </c>
      <c r="E23" s="86">
        <f>SUM(E20:E22)</f>
        <v>175383.15999999997</v>
      </c>
      <c r="F23" s="86">
        <f>SUM(F20:F22)</f>
        <v>177382.96999999997</v>
      </c>
      <c r="G23" s="87">
        <f t="shared" ref="G23:O23" si="11">SUM(G20:G22)</f>
        <v>76032</v>
      </c>
      <c r="H23" s="88">
        <f t="shared" si="11"/>
        <v>51510.759999999995</v>
      </c>
      <c r="I23" s="88">
        <f t="shared" si="11"/>
        <v>20783.64</v>
      </c>
      <c r="J23" s="88">
        <f t="shared" si="11"/>
        <v>12651.52</v>
      </c>
      <c r="K23" s="88">
        <f t="shared" si="11"/>
        <v>5422.08</v>
      </c>
      <c r="L23" s="89">
        <f t="shared" si="11"/>
        <v>90368</v>
      </c>
      <c r="M23" s="90">
        <f t="shared" si="11"/>
        <v>1000</v>
      </c>
      <c r="N23" s="91">
        <f t="shared" si="11"/>
        <v>188000</v>
      </c>
      <c r="O23" s="91">
        <f t="shared" si="11"/>
        <v>188000</v>
      </c>
      <c r="P23" s="158"/>
      <c r="Q23" s="94">
        <f>SUM(Q20:Q22)</f>
        <v>167400</v>
      </c>
      <c r="R23" s="86">
        <f>SUM(R20:R22)</f>
        <v>157993.47</v>
      </c>
      <c r="S23" s="95">
        <f>SUM(S20:S22)</f>
        <v>1000</v>
      </c>
      <c r="T23" s="96">
        <f t="shared" ref="T23" si="12">SUM(T20:T22)</f>
        <v>76032</v>
      </c>
      <c r="U23" s="97">
        <f>SUM(U20:U22)</f>
        <v>80961.47</v>
      </c>
      <c r="V23" s="98">
        <f t="shared" si="0"/>
        <v>94.380806451612912</v>
      </c>
      <c r="W23" s="99">
        <f t="shared" si="3"/>
        <v>89.069131044541663</v>
      </c>
    </row>
    <row r="24" spans="1:23" ht="12.2" customHeight="1" x14ac:dyDescent="0.2">
      <c r="A24" s="65">
        <v>3221</v>
      </c>
      <c r="B24" s="102" t="s">
        <v>44</v>
      </c>
      <c r="C24" s="67">
        <v>82477.3</v>
      </c>
      <c r="D24" s="68">
        <v>75231.8</v>
      </c>
      <c r="E24" s="69">
        <v>71166.3</v>
      </c>
      <c r="F24" s="69">
        <v>57215.77</v>
      </c>
      <c r="G24" s="100">
        <v>30524</v>
      </c>
      <c r="H24" s="71">
        <f>L24*0.57</f>
        <v>13381.32</v>
      </c>
      <c r="I24" s="71">
        <f>L24*0.23</f>
        <v>5399.4800000000005</v>
      </c>
      <c r="J24" s="71">
        <f>L24*0.14</f>
        <v>3286.6400000000003</v>
      </c>
      <c r="K24" s="71">
        <f>L24*0.06</f>
        <v>1408.56</v>
      </c>
      <c r="L24" s="72">
        <f>Q24-G24-M24</f>
        <v>23476</v>
      </c>
      <c r="M24" s="73">
        <v>0</v>
      </c>
      <c r="N24" s="71">
        <v>80000</v>
      </c>
      <c r="O24" s="71">
        <v>80000</v>
      </c>
      <c r="P24" s="156"/>
      <c r="Q24" s="101">
        <v>54000</v>
      </c>
      <c r="R24" s="69">
        <v>53117.65</v>
      </c>
      <c r="S24" s="77">
        <f>M24</f>
        <v>0</v>
      </c>
      <c r="T24" s="78">
        <f>G24</f>
        <v>30524</v>
      </c>
      <c r="U24" s="79">
        <f>R24-S24-T24</f>
        <v>22593.65</v>
      </c>
      <c r="V24" s="80">
        <f t="shared" si="0"/>
        <v>98.366018518518516</v>
      </c>
      <c r="W24" s="81">
        <f t="shared" si="3"/>
        <v>92.837429261198452</v>
      </c>
    </row>
    <row r="25" spans="1:23" ht="12.2" customHeight="1" x14ac:dyDescent="0.2">
      <c r="A25" s="65">
        <v>3223</v>
      </c>
      <c r="B25" s="66" t="s">
        <v>45</v>
      </c>
      <c r="C25" s="67">
        <v>119413.71</v>
      </c>
      <c r="D25" s="68">
        <v>135649.54</v>
      </c>
      <c r="E25" s="69">
        <v>133853.75</v>
      </c>
      <c r="F25" s="69">
        <v>145266.51999999999</v>
      </c>
      <c r="G25" s="100">
        <v>90729</v>
      </c>
      <c r="H25" s="71">
        <f>L25*0.57</f>
        <v>6994.4699999999993</v>
      </c>
      <c r="I25" s="71">
        <f>L25*0.23</f>
        <v>2822.33</v>
      </c>
      <c r="J25" s="71">
        <f t="shared" ref="J25:J28" si="13">L25*0.14</f>
        <v>1717.94</v>
      </c>
      <c r="K25" s="71">
        <f t="shared" ref="K25:K28" si="14">L25*0.06</f>
        <v>736.26</v>
      </c>
      <c r="L25" s="72">
        <f>Q25-G25-M25</f>
        <v>12271</v>
      </c>
      <c r="M25" s="73">
        <v>0</v>
      </c>
      <c r="N25" s="71">
        <v>137000</v>
      </c>
      <c r="O25" s="71">
        <v>137000</v>
      </c>
      <c r="P25" s="156"/>
      <c r="Q25" s="157">
        <f>100000+3000</f>
        <v>103000</v>
      </c>
      <c r="R25" s="69">
        <v>102925.97</v>
      </c>
      <c r="S25" s="77">
        <f t="shared" ref="S25:S28" si="15">M25</f>
        <v>0</v>
      </c>
      <c r="T25" s="78">
        <f t="shared" ref="T25:T28" si="16">G25</f>
        <v>90729</v>
      </c>
      <c r="U25" s="79">
        <f>R25-S25-T25</f>
        <v>12196.970000000001</v>
      </c>
      <c r="V25" s="80">
        <f t="shared" si="0"/>
        <v>99.928126213592236</v>
      </c>
      <c r="W25" s="81">
        <f t="shared" si="3"/>
        <v>70.853194528236799</v>
      </c>
    </row>
    <row r="26" spans="1:23" ht="12.2" customHeight="1" x14ac:dyDescent="0.2">
      <c r="A26" s="65">
        <v>3224</v>
      </c>
      <c r="B26" s="66" t="s">
        <v>46</v>
      </c>
      <c r="C26" s="67">
        <v>0</v>
      </c>
      <c r="D26" s="68">
        <v>0</v>
      </c>
      <c r="E26" s="69">
        <v>0</v>
      </c>
      <c r="F26" s="69">
        <v>6615.87</v>
      </c>
      <c r="G26" s="100">
        <v>0</v>
      </c>
      <c r="H26" s="71">
        <f t="shared" ref="H26:H28" si="17">L26*0.57</f>
        <v>0</v>
      </c>
      <c r="I26" s="71">
        <f t="shared" ref="I26:I28" si="18">L26*0.23</f>
        <v>0</v>
      </c>
      <c r="J26" s="71">
        <f t="shared" si="13"/>
        <v>0</v>
      </c>
      <c r="K26" s="71">
        <f t="shared" si="14"/>
        <v>0</v>
      </c>
      <c r="L26" s="72">
        <f>Q26-G26-M26</f>
        <v>0</v>
      </c>
      <c r="M26" s="73">
        <v>0</v>
      </c>
      <c r="N26" s="71"/>
      <c r="O26" s="71"/>
      <c r="P26" s="156"/>
      <c r="Q26" s="101">
        <v>0</v>
      </c>
      <c r="R26" s="69">
        <v>0</v>
      </c>
      <c r="S26" s="77">
        <f t="shared" si="15"/>
        <v>0</v>
      </c>
      <c r="T26" s="78">
        <f t="shared" si="16"/>
        <v>0</v>
      </c>
      <c r="U26" s="79">
        <f>R26-S26-T26</f>
        <v>0</v>
      </c>
      <c r="V26" s="80">
        <v>0</v>
      </c>
      <c r="W26" s="81">
        <f t="shared" si="3"/>
        <v>0</v>
      </c>
    </row>
    <row r="27" spans="1:23" ht="12.2" customHeight="1" x14ac:dyDescent="0.2">
      <c r="A27" s="65">
        <v>3225</v>
      </c>
      <c r="B27" s="66" t="s">
        <v>47</v>
      </c>
      <c r="C27" s="67">
        <v>37751.03</v>
      </c>
      <c r="D27" s="68">
        <v>112870.46</v>
      </c>
      <c r="E27" s="69">
        <v>109536.15</v>
      </c>
      <c r="F27" s="69">
        <v>54498.04</v>
      </c>
      <c r="G27" s="100">
        <f>24375+49</f>
        <v>24424</v>
      </c>
      <c r="H27" s="71">
        <f>L27*0.57-1</f>
        <v>2892.3199999999997</v>
      </c>
      <c r="I27" s="71">
        <f t="shared" si="18"/>
        <v>1167.48</v>
      </c>
      <c r="J27" s="71">
        <f t="shared" si="13"/>
        <v>710.6400000000001</v>
      </c>
      <c r="K27" s="71">
        <f t="shared" si="14"/>
        <v>304.56</v>
      </c>
      <c r="L27" s="72">
        <f>Q27-G27-M27</f>
        <v>5076</v>
      </c>
      <c r="M27" s="73">
        <v>0</v>
      </c>
      <c r="N27" s="71">
        <v>40000</v>
      </c>
      <c r="O27" s="71">
        <v>40000</v>
      </c>
      <c r="P27" s="156"/>
      <c r="Q27" s="101">
        <v>29500</v>
      </c>
      <c r="R27" s="69">
        <v>28224.26</v>
      </c>
      <c r="S27" s="77">
        <f t="shared" si="15"/>
        <v>0</v>
      </c>
      <c r="T27" s="78">
        <f t="shared" si="16"/>
        <v>24424</v>
      </c>
      <c r="U27" s="79">
        <f>R27-S27-T27</f>
        <v>3800.2599999999984</v>
      </c>
      <c r="V27" s="80">
        <f t="shared" si="0"/>
        <v>95.675457627118647</v>
      </c>
      <c r="W27" s="81">
        <f t="shared" si="3"/>
        <v>51.789495548830743</v>
      </c>
    </row>
    <row r="28" spans="1:23" ht="12.2" customHeight="1" x14ac:dyDescent="0.2">
      <c r="A28" s="65">
        <v>3227</v>
      </c>
      <c r="B28" s="66" t="s">
        <v>48</v>
      </c>
      <c r="C28" s="67">
        <v>66058.75</v>
      </c>
      <c r="D28" s="68">
        <v>162549.4</v>
      </c>
      <c r="E28" s="69">
        <v>273065.42</v>
      </c>
      <c r="F28" s="69">
        <v>263093.08</v>
      </c>
      <c r="G28" s="100">
        <v>56250</v>
      </c>
      <c r="H28" s="71">
        <f t="shared" si="17"/>
        <v>2137.5</v>
      </c>
      <c r="I28" s="71">
        <f t="shared" si="18"/>
        <v>862.5</v>
      </c>
      <c r="J28" s="71">
        <f t="shared" si="13"/>
        <v>525</v>
      </c>
      <c r="K28" s="71">
        <f t="shared" si="14"/>
        <v>225</v>
      </c>
      <c r="L28" s="72">
        <f>Q28-G28-M28</f>
        <v>3750</v>
      </c>
      <c r="M28" s="73">
        <v>0</v>
      </c>
      <c r="N28" s="71">
        <v>66250</v>
      </c>
      <c r="O28" s="71">
        <v>66250</v>
      </c>
      <c r="P28" s="156"/>
      <c r="Q28" s="101">
        <v>60000</v>
      </c>
      <c r="R28" s="69">
        <v>59936.52</v>
      </c>
      <c r="S28" s="77">
        <f t="shared" si="15"/>
        <v>0</v>
      </c>
      <c r="T28" s="78">
        <f t="shared" si="16"/>
        <v>56250</v>
      </c>
      <c r="U28" s="79">
        <f>R28-S28-T28</f>
        <v>3686.5199999999968</v>
      </c>
      <c r="V28" s="80">
        <f t="shared" si="0"/>
        <v>99.894199999999998</v>
      </c>
      <c r="W28" s="81">
        <f t="shared" si="3"/>
        <v>22.781488589513639</v>
      </c>
    </row>
    <row r="29" spans="1:23" ht="12.2" customHeight="1" x14ac:dyDescent="0.2">
      <c r="A29" s="82">
        <v>322</v>
      </c>
      <c r="B29" s="83" t="s">
        <v>49</v>
      </c>
      <c r="C29" s="84">
        <f>SUM(C24:C28)</f>
        <v>305700.79000000004</v>
      </c>
      <c r="D29" s="85">
        <f>SUM(D24:D28)</f>
        <v>486301.20000000007</v>
      </c>
      <c r="E29" s="86">
        <f>SUM(E24:E28)</f>
        <v>587621.61999999988</v>
      </c>
      <c r="F29" s="86">
        <f>SUM(F24:F28)</f>
        <v>526689.28000000003</v>
      </c>
      <c r="G29" s="87">
        <f t="shared" ref="G29:O29" si="19">SUM(G24:G28)</f>
        <v>201927</v>
      </c>
      <c r="H29" s="88">
        <f>SUM(H24:H28)</f>
        <v>25405.61</v>
      </c>
      <c r="I29" s="88">
        <f t="shared" si="19"/>
        <v>10251.790000000001</v>
      </c>
      <c r="J29" s="88">
        <f t="shared" si="19"/>
        <v>6240.22</v>
      </c>
      <c r="K29" s="88">
        <f>SUM(K24:K28)</f>
        <v>2674.3799999999997</v>
      </c>
      <c r="L29" s="89">
        <f t="shared" si="19"/>
        <v>44573</v>
      </c>
      <c r="M29" s="90">
        <f t="shared" si="19"/>
        <v>0</v>
      </c>
      <c r="N29" s="91">
        <f t="shared" si="19"/>
        <v>323250</v>
      </c>
      <c r="O29" s="91">
        <f t="shared" si="19"/>
        <v>323250</v>
      </c>
      <c r="P29" s="158"/>
      <c r="Q29" s="94">
        <f>Q24+Q25+Q26+Q27+Q28</f>
        <v>246500</v>
      </c>
      <c r="R29" s="86">
        <f>SUM(R24:R28)</f>
        <v>244204.4</v>
      </c>
      <c r="S29" s="95">
        <f>SUM(S24:S28)</f>
        <v>0</v>
      </c>
      <c r="T29" s="96">
        <f t="shared" ref="T29" si="20">SUM(T24:T28)</f>
        <v>201927</v>
      </c>
      <c r="U29" s="97">
        <f>SUM(U24:U28)</f>
        <v>42277.4</v>
      </c>
      <c r="V29" s="98">
        <f t="shared" si="0"/>
        <v>99.068722109533468</v>
      </c>
      <c r="W29" s="99">
        <f t="shared" si="3"/>
        <v>46.365933250055889</v>
      </c>
    </row>
    <row r="30" spans="1:23" ht="12.2" customHeight="1" x14ac:dyDescent="0.2">
      <c r="A30" s="65">
        <v>3231</v>
      </c>
      <c r="B30" s="66" t="s">
        <v>50</v>
      </c>
      <c r="C30" s="67">
        <v>27198.2</v>
      </c>
      <c r="D30" s="68">
        <v>30634.84</v>
      </c>
      <c r="E30" s="69">
        <v>25097.91</v>
      </c>
      <c r="F30" s="69">
        <v>26473.68</v>
      </c>
      <c r="G30" s="100">
        <v>24655</v>
      </c>
      <c r="H30" s="71">
        <f t="shared" ref="H30:H37" si="21">L30*0.57</f>
        <v>766.65</v>
      </c>
      <c r="I30" s="71">
        <f t="shared" ref="I30:I37" si="22">L30*0.23</f>
        <v>309.35000000000002</v>
      </c>
      <c r="J30" s="71">
        <f t="shared" ref="J30:J37" si="23">L30*0.14</f>
        <v>188.3</v>
      </c>
      <c r="K30" s="71">
        <f t="shared" ref="K30:K37" si="24">L30*0.06</f>
        <v>80.7</v>
      </c>
      <c r="L30" s="72">
        <f t="shared" ref="L30:L37" si="25">Q30-G30-M30</f>
        <v>1345</v>
      </c>
      <c r="M30" s="73">
        <v>0</v>
      </c>
      <c r="N30" s="71">
        <v>30700</v>
      </c>
      <c r="O30" s="71">
        <v>30700</v>
      </c>
      <c r="P30" s="156"/>
      <c r="Q30" s="101">
        <v>26000</v>
      </c>
      <c r="R30" s="69">
        <v>25260.91</v>
      </c>
      <c r="S30" s="77">
        <f>M30</f>
        <v>0</v>
      </c>
      <c r="T30" s="78">
        <f>G30</f>
        <v>24655</v>
      </c>
      <c r="U30" s="79">
        <f t="shared" ref="U30:U37" si="26">R30-S30-T30</f>
        <v>605.90999999999985</v>
      </c>
      <c r="V30" s="80">
        <f t="shared" si="0"/>
        <v>97.157346153846163</v>
      </c>
      <c r="W30" s="81">
        <f t="shared" si="3"/>
        <v>95.418959509973675</v>
      </c>
    </row>
    <row r="31" spans="1:23" ht="12.2" customHeight="1" x14ac:dyDescent="0.2">
      <c r="A31" s="65">
        <v>3232</v>
      </c>
      <c r="B31" s="66" t="s">
        <v>51</v>
      </c>
      <c r="C31" s="67">
        <v>190089.12</v>
      </c>
      <c r="D31" s="68">
        <v>170367.34</v>
      </c>
      <c r="E31" s="69">
        <v>206609.9</v>
      </c>
      <c r="F31" s="69">
        <v>193995.02</v>
      </c>
      <c r="G31" s="100">
        <v>57700</v>
      </c>
      <c r="H31" s="71">
        <f t="shared" si="21"/>
        <v>34827</v>
      </c>
      <c r="I31" s="71">
        <f t="shared" si="22"/>
        <v>14053</v>
      </c>
      <c r="J31" s="71">
        <f t="shared" si="23"/>
        <v>8554</v>
      </c>
      <c r="K31" s="71">
        <f t="shared" si="24"/>
        <v>3666</v>
      </c>
      <c r="L31" s="72">
        <f t="shared" si="25"/>
        <v>61100</v>
      </c>
      <c r="M31" s="73">
        <v>0</v>
      </c>
      <c r="N31" s="71">
        <v>100000</v>
      </c>
      <c r="O31" s="71">
        <v>100000</v>
      </c>
      <c r="P31" s="156">
        <f>9470+7144+103663+70793</f>
        <v>191070</v>
      </c>
      <c r="Q31" s="101">
        <v>118800</v>
      </c>
      <c r="R31" s="69">
        <v>118037.58</v>
      </c>
      <c r="S31" s="77">
        <f t="shared" ref="S31:S37" si="27">M31</f>
        <v>0</v>
      </c>
      <c r="T31" s="78">
        <f t="shared" ref="T31:T37" si="28">G31</f>
        <v>57700</v>
      </c>
      <c r="U31" s="79">
        <f t="shared" si="26"/>
        <v>60337.58</v>
      </c>
      <c r="V31" s="80">
        <f t="shared" si="0"/>
        <v>99.358232323232315</v>
      </c>
      <c r="W31" s="81">
        <f t="shared" si="3"/>
        <v>60.845675316819992</v>
      </c>
    </row>
    <row r="32" spans="1:23" ht="12.2" customHeight="1" x14ac:dyDescent="0.2">
      <c r="A32" s="65">
        <v>3233</v>
      </c>
      <c r="B32" s="102" t="s">
        <v>52</v>
      </c>
      <c r="C32" s="67">
        <v>1250</v>
      </c>
      <c r="D32" s="68">
        <v>350</v>
      </c>
      <c r="E32" s="69">
        <v>9500</v>
      </c>
      <c r="F32" s="69">
        <v>700</v>
      </c>
      <c r="G32" s="100">
        <v>0</v>
      </c>
      <c r="H32" s="71">
        <f>L32*0.57+5</f>
        <v>1429.9999999999998</v>
      </c>
      <c r="I32" s="71">
        <f>L32*0.23-2</f>
        <v>573</v>
      </c>
      <c r="J32" s="71">
        <f>L32*0.14-2</f>
        <v>348.00000000000006</v>
      </c>
      <c r="K32" s="71">
        <f>L32*0.06-1</f>
        <v>149</v>
      </c>
      <c r="L32" s="72">
        <f t="shared" si="25"/>
        <v>2500</v>
      </c>
      <c r="M32" s="73">
        <v>0</v>
      </c>
      <c r="N32" s="71">
        <v>3000</v>
      </c>
      <c r="O32" s="71">
        <v>3000</v>
      </c>
      <c r="P32" s="156"/>
      <c r="Q32" s="101">
        <v>2500</v>
      </c>
      <c r="R32" s="69">
        <v>350</v>
      </c>
      <c r="S32" s="77">
        <f t="shared" si="27"/>
        <v>0</v>
      </c>
      <c r="T32" s="78">
        <f t="shared" si="28"/>
        <v>0</v>
      </c>
      <c r="U32" s="79">
        <f t="shared" si="26"/>
        <v>350</v>
      </c>
      <c r="V32" s="80">
        <f t="shared" si="0"/>
        <v>14.000000000000002</v>
      </c>
      <c r="W32" s="81">
        <f t="shared" si="3"/>
        <v>50</v>
      </c>
    </row>
    <row r="33" spans="1:23" ht="12.2" customHeight="1" x14ac:dyDescent="0.2">
      <c r="A33" s="65">
        <v>3234</v>
      </c>
      <c r="B33" s="66" t="s">
        <v>53</v>
      </c>
      <c r="C33" s="67">
        <v>24015.82</v>
      </c>
      <c r="D33" s="68">
        <v>22300.93</v>
      </c>
      <c r="E33" s="69">
        <v>20423.38</v>
      </c>
      <c r="F33" s="69">
        <v>19151.32</v>
      </c>
      <c r="G33" s="100">
        <v>16614</v>
      </c>
      <c r="H33" s="71">
        <f t="shared" si="21"/>
        <v>1360.02</v>
      </c>
      <c r="I33" s="71">
        <f t="shared" si="22"/>
        <v>548.78</v>
      </c>
      <c r="J33" s="71">
        <f t="shared" si="23"/>
        <v>334.04</v>
      </c>
      <c r="K33" s="71">
        <f t="shared" si="24"/>
        <v>143.16</v>
      </c>
      <c r="L33" s="72">
        <f t="shared" si="25"/>
        <v>2386</v>
      </c>
      <c r="M33" s="73">
        <v>0</v>
      </c>
      <c r="N33" s="71">
        <v>19500</v>
      </c>
      <c r="O33" s="71">
        <v>19500</v>
      </c>
      <c r="P33" s="156"/>
      <c r="Q33" s="101">
        <v>19000</v>
      </c>
      <c r="R33" s="69">
        <v>18201.75</v>
      </c>
      <c r="S33" s="77">
        <f t="shared" si="27"/>
        <v>0</v>
      </c>
      <c r="T33" s="78">
        <f t="shared" si="28"/>
        <v>16614</v>
      </c>
      <c r="U33" s="79">
        <f t="shared" si="26"/>
        <v>1587.75</v>
      </c>
      <c r="V33" s="80">
        <f t="shared" si="0"/>
        <v>95.798684210526318</v>
      </c>
      <c r="W33" s="81">
        <f t="shared" si="3"/>
        <v>95.041751691267237</v>
      </c>
    </row>
    <row r="34" spans="1:23" ht="12.2" customHeight="1" x14ac:dyDescent="0.2">
      <c r="A34" s="65">
        <v>3235</v>
      </c>
      <c r="B34" s="66" t="s">
        <v>54</v>
      </c>
      <c r="C34" s="67">
        <v>11000</v>
      </c>
      <c r="D34" s="68">
        <v>0</v>
      </c>
      <c r="E34" s="69">
        <v>0</v>
      </c>
      <c r="F34" s="69">
        <v>6250</v>
      </c>
      <c r="G34" s="100">
        <v>0</v>
      </c>
      <c r="H34" s="71">
        <f t="shared" si="21"/>
        <v>3562.4999999999995</v>
      </c>
      <c r="I34" s="71">
        <f t="shared" si="22"/>
        <v>1437.5</v>
      </c>
      <c r="J34" s="71">
        <f t="shared" si="23"/>
        <v>875.00000000000011</v>
      </c>
      <c r="K34" s="71">
        <f t="shared" si="24"/>
        <v>375</v>
      </c>
      <c r="L34" s="72">
        <f t="shared" si="25"/>
        <v>6250</v>
      </c>
      <c r="M34" s="73">
        <v>0</v>
      </c>
      <c r="N34" s="71">
        <v>12000</v>
      </c>
      <c r="O34" s="71">
        <v>12000</v>
      </c>
      <c r="P34" s="156"/>
      <c r="Q34" s="101">
        <v>6250</v>
      </c>
      <c r="R34" s="69">
        <v>6250</v>
      </c>
      <c r="S34" s="77">
        <f t="shared" si="27"/>
        <v>0</v>
      </c>
      <c r="T34" s="78">
        <f t="shared" si="28"/>
        <v>0</v>
      </c>
      <c r="U34" s="79">
        <f t="shared" si="26"/>
        <v>6250</v>
      </c>
      <c r="V34" s="80">
        <v>0</v>
      </c>
      <c r="W34" s="81">
        <f t="shared" si="3"/>
        <v>100</v>
      </c>
    </row>
    <row r="35" spans="1:23" ht="12.2" customHeight="1" x14ac:dyDescent="0.2">
      <c r="A35" s="65">
        <v>3236</v>
      </c>
      <c r="B35" s="66" t="s">
        <v>55</v>
      </c>
      <c r="C35" s="67">
        <v>6085</v>
      </c>
      <c r="D35" s="68">
        <v>1455</v>
      </c>
      <c r="E35" s="69">
        <v>535</v>
      </c>
      <c r="F35" s="69">
        <v>1035</v>
      </c>
      <c r="G35" s="100">
        <v>0</v>
      </c>
      <c r="H35" s="71">
        <f t="shared" si="21"/>
        <v>854.99999999999989</v>
      </c>
      <c r="I35" s="71">
        <f t="shared" si="22"/>
        <v>345</v>
      </c>
      <c r="J35" s="71">
        <f t="shared" si="23"/>
        <v>210.00000000000003</v>
      </c>
      <c r="K35" s="71">
        <f t="shared" si="24"/>
        <v>90</v>
      </c>
      <c r="L35" s="72">
        <f t="shared" si="25"/>
        <v>1500</v>
      </c>
      <c r="M35" s="73">
        <v>0</v>
      </c>
      <c r="N35" s="71">
        <v>1000</v>
      </c>
      <c r="O35" s="71">
        <v>1000</v>
      </c>
      <c r="P35" s="156"/>
      <c r="Q35" s="101">
        <v>1500</v>
      </c>
      <c r="R35" s="69">
        <v>950</v>
      </c>
      <c r="S35" s="77">
        <f t="shared" si="27"/>
        <v>0</v>
      </c>
      <c r="T35" s="78">
        <f t="shared" si="28"/>
        <v>0</v>
      </c>
      <c r="U35" s="79">
        <f t="shared" si="26"/>
        <v>950</v>
      </c>
      <c r="V35" s="80">
        <f t="shared" si="0"/>
        <v>63.333333333333329</v>
      </c>
      <c r="W35" s="81">
        <f t="shared" si="3"/>
        <v>91.787439613526573</v>
      </c>
    </row>
    <row r="36" spans="1:23" ht="12.2" customHeight="1" x14ac:dyDescent="0.2">
      <c r="A36" s="65">
        <v>3237</v>
      </c>
      <c r="B36" s="66" t="s">
        <v>56</v>
      </c>
      <c r="C36" s="67">
        <v>36000</v>
      </c>
      <c r="D36" s="68">
        <v>48658.63</v>
      </c>
      <c r="E36" s="69">
        <v>45820</v>
      </c>
      <c r="F36" s="69">
        <v>67167.179999999993</v>
      </c>
      <c r="G36" s="100">
        <v>0</v>
      </c>
      <c r="H36" s="71">
        <f>L36*0.57-4</f>
        <v>35906</v>
      </c>
      <c r="I36" s="71">
        <f>L36*0.23+2</f>
        <v>14492</v>
      </c>
      <c r="J36" s="71">
        <f>L36*0.14+1</f>
        <v>8821</v>
      </c>
      <c r="K36" s="71">
        <f>L36*0.06+1</f>
        <v>3781</v>
      </c>
      <c r="L36" s="72">
        <f t="shared" si="25"/>
        <v>63000</v>
      </c>
      <c r="M36" s="73">
        <v>0</v>
      </c>
      <c r="N36" s="71">
        <v>40000</v>
      </c>
      <c r="O36" s="71">
        <v>40000</v>
      </c>
      <c r="P36" s="156"/>
      <c r="Q36" s="157">
        <f>64200-1200</f>
        <v>63000</v>
      </c>
      <c r="R36" s="69">
        <v>62004.42</v>
      </c>
      <c r="S36" s="77">
        <f t="shared" si="27"/>
        <v>0</v>
      </c>
      <c r="T36" s="78">
        <f t="shared" si="28"/>
        <v>0</v>
      </c>
      <c r="U36" s="79">
        <f t="shared" si="26"/>
        <v>62004.42</v>
      </c>
      <c r="V36" s="80">
        <f t="shared" si="0"/>
        <v>98.419714285714292</v>
      </c>
      <c r="W36" s="81">
        <f t="shared" si="3"/>
        <v>92.313567429807236</v>
      </c>
    </row>
    <row r="37" spans="1:23" ht="12.2" customHeight="1" x14ac:dyDescent="0.2">
      <c r="A37" s="65">
        <v>3239</v>
      </c>
      <c r="B37" s="102" t="s">
        <v>57</v>
      </c>
      <c r="C37" s="67">
        <v>21742.79</v>
      </c>
      <c r="D37" s="68">
        <v>16773.16</v>
      </c>
      <c r="E37" s="69">
        <v>26154.07</v>
      </c>
      <c r="F37" s="69">
        <v>24508.95</v>
      </c>
      <c r="G37" s="100">
        <v>0</v>
      </c>
      <c r="H37" s="71">
        <f t="shared" si="21"/>
        <v>15104.999999999998</v>
      </c>
      <c r="I37" s="71">
        <f t="shared" si="22"/>
        <v>6095</v>
      </c>
      <c r="J37" s="71">
        <f t="shared" si="23"/>
        <v>3710.0000000000005</v>
      </c>
      <c r="K37" s="71">
        <f t="shared" si="24"/>
        <v>1590</v>
      </c>
      <c r="L37" s="72">
        <f t="shared" si="25"/>
        <v>26500</v>
      </c>
      <c r="M37" s="73">
        <v>0</v>
      </c>
      <c r="N37" s="71">
        <v>19000</v>
      </c>
      <c r="O37" s="71">
        <v>19000</v>
      </c>
      <c r="P37" s="156"/>
      <c r="Q37" s="157">
        <f>27000-500</f>
        <v>26500</v>
      </c>
      <c r="R37" s="69">
        <v>22905.94</v>
      </c>
      <c r="S37" s="77">
        <f t="shared" si="27"/>
        <v>0</v>
      </c>
      <c r="T37" s="78">
        <f t="shared" si="28"/>
        <v>0</v>
      </c>
      <c r="U37" s="79">
        <f t="shared" si="26"/>
        <v>22905.94</v>
      </c>
      <c r="V37" s="80">
        <f t="shared" si="0"/>
        <v>86.437509433962262</v>
      </c>
      <c r="W37" s="81">
        <f t="shared" si="3"/>
        <v>93.459491328677885</v>
      </c>
    </row>
    <row r="38" spans="1:23" ht="12.2" customHeight="1" x14ac:dyDescent="0.2">
      <c r="A38" s="82">
        <v>323</v>
      </c>
      <c r="B38" s="159" t="s">
        <v>58</v>
      </c>
      <c r="C38" s="84">
        <f>SUM(C30:C37)</f>
        <v>317380.93</v>
      </c>
      <c r="D38" s="85">
        <f>SUM(D30:D37)</f>
        <v>290539.89999999997</v>
      </c>
      <c r="E38" s="86">
        <f>SUM(E30:E37)</f>
        <v>334140.26</v>
      </c>
      <c r="F38" s="86">
        <f>SUM(F30:F37)</f>
        <v>339281.14999999997</v>
      </c>
      <c r="G38" s="87">
        <f t="shared" ref="G38:O38" si="29">SUM(G30:G37)</f>
        <v>98969</v>
      </c>
      <c r="H38" s="88">
        <f t="shared" si="29"/>
        <v>93812.17</v>
      </c>
      <c r="I38" s="88">
        <f t="shared" si="29"/>
        <v>37853.630000000005</v>
      </c>
      <c r="J38" s="88">
        <f t="shared" si="29"/>
        <v>23040.34</v>
      </c>
      <c r="K38" s="88">
        <f>SUM(K30:K37)</f>
        <v>9874.86</v>
      </c>
      <c r="L38" s="89">
        <f t="shared" si="29"/>
        <v>164581</v>
      </c>
      <c r="M38" s="90">
        <f t="shared" si="29"/>
        <v>0</v>
      </c>
      <c r="N38" s="91">
        <f t="shared" si="29"/>
        <v>225200</v>
      </c>
      <c r="O38" s="91">
        <f t="shared" si="29"/>
        <v>225200</v>
      </c>
      <c r="P38" s="158"/>
      <c r="Q38" s="94">
        <f>Q30+Q31+Q32+Q33+Q34+Q35+Q36+Q37</f>
        <v>263550</v>
      </c>
      <c r="R38" s="86">
        <f>SUM(R30:R37)</f>
        <v>253960.59999999998</v>
      </c>
      <c r="S38" s="95">
        <f>SUM(S30:S37)</f>
        <v>0</v>
      </c>
      <c r="T38" s="96">
        <f t="shared" ref="T38" si="30">SUM(T30:T37)</f>
        <v>98969</v>
      </c>
      <c r="U38" s="97">
        <f>SUM(U30:U37)</f>
        <v>154991.6</v>
      </c>
      <c r="V38" s="98">
        <f t="shared" si="0"/>
        <v>96.361449440333885</v>
      </c>
      <c r="W38" s="99">
        <f t="shared" si="3"/>
        <v>74.852552226965756</v>
      </c>
    </row>
    <row r="39" spans="1:23" ht="12.2" customHeight="1" x14ac:dyDescent="0.2">
      <c r="A39" s="160">
        <v>3291</v>
      </c>
      <c r="B39" s="66" t="s">
        <v>59</v>
      </c>
      <c r="C39" s="67">
        <v>38042.300000000003</v>
      </c>
      <c r="D39" s="68">
        <v>33146.04</v>
      </c>
      <c r="E39" s="69">
        <v>33002.04</v>
      </c>
      <c r="F39" s="69">
        <v>33002.04</v>
      </c>
      <c r="G39" s="100">
        <v>0</v>
      </c>
      <c r="H39" s="71">
        <f>L39*0.57</f>
        <v>9690</v>
      </c>
      <c r="I39" s="71">
        <f>L39*0.23</f>
        <v>3910</v>
      </c>
      <c r="J39" s="71">
        <f>L39*0.14</f>
        <v>2380</v>
      </c>
      <c r="K39" s="71">
        <f>L39*0.06</f>
        <v>1020</v>
      </c>
      <c r="L39" s="72">
        <f>Q39-G39-M39</f>
        <v>17000</v>
      </c>
      <c r="M39" s="73">
        <v>0</v>
      </c>
      <c r="N39" s="71">
        <v>22000</v>
      </c>
      <c r="O39" s="71">
        <v>22000</v>
      </c>
      <c r="P39" s="156"/>
      <c r="Q39" s="101">
        <v>17000</v>
      </c>
      <c r="R39" s="69">
        <v>16501.02</v>
      </c>
      <c r="S39" s="77">
        <f>M39</f>
        <v>0</v>
      </c>
      <c r="T39" s="78">
        <f>G39</f>
        <v>0</v>
      </c>
      <c r="U39" s="79">
        <f>R39-S39-T39</f>
        <v>16501.02</v>
      </c>
      <c r="V39" s="80">
        <f t="shared" si="0"/>
        <v>97.064823529411768</v>
      </c>
      <c r="W39" s="81">
        <f t="shared" si="3"/>
        <v>50</v>
      </c>
    </row>
    <row r="40" spans="1:23" ht="12.2" customHeight="1" x14ac:dyDescent="0.2">
      <c r="A40" s="160">
        <v>3292</v>
      </c>
      <c r="B40" s="66" t="s">
        <v>60</v>
      </c>
      <c r="C40" s="67">
        <v>96514.53</v>
      </c>
      <c r="D40" s="68">
        <v>98004.83</v>
      </c>
      <c r="E40" s="69">
        <v>101125</v>
      </c>
      <c r="F40" s="69">
        <v>93823.31</v>
      </c>
      <c r="G40" s="100">
        <v>46443</v>
      </c>
      <c r="H40" s="71">
        <f>L40*0.57+3</f>
        <v>4310.49</v>
      </c>
      <c r="I40" s="71">
        <f>L40*0.23-1</f>
        <v>1737.1100000000001</v>
      </c>
      <c r="J40" s="71">
        <f>L40*0.14-1</f>
        <v>1056.98</v>
      </c>
      <c r="K40" s="71">
        <f t="shared" ref="K40:K42" si="31">L40*0.06</f>
        <v>453.41999999999996</v>
      </c>
      <c r="L40" s="72">
        <f>Q40-G40-M40</f>
        <v>7557</v>
      </c>
      <c r="M40" s="73">
        <v>0</v>
      </c>
      <c r="N40" s="71">
        <v>100000</v>
      </c>
      <c r="O40" s="71">
        <v>100000</v>
      </c>
      <c r="P40" s="156"/>
      <c r="Q40" s="101">
        <v>54000</v>
      </c>
      <c r="R40" s="69">
        <v>53763.02</v>
      </c>
      <c r="S40" s="77">
        <f t="shared" ref="S40:S42" si="32">M40</f>
        <v>0</v>
      </c>
      <c r="T40" s="78">
        <f t="shared" ref="T40:T42" si="33">G40</f>
        <v>46443</v>
      </c>
      <c r="U40" s="79">
        <f>R40-S40-T40</f>
        <v>7320.0199999999968</v>
      </c>
      <c r="V40" s="80">
        <f t="shared" si="0"/>
        <v>99.561148148148135</v>
      </c>
      <c r="W40" s="81">
        <f t="shared" si="3"/>
        <v>57.302412374920472</v>
      </c>
    </row>
    <row r="41" spans="1:23" ht="12.2" customHeight="1" x14ac:dyDescent="0.2">
      <c r="A41" s="160">
        <v>3293</v>
      </c>
      <c r="B41" s="66" t="s">
        <v>61</v>
      </c>
      <c r="C41" s="67">
        <v>15951.12</v>
      </c>
      <c r="D41" s="68">
        <v>13042.85</v>
      </c>
      <c r="E41" s="69">
        <v>17994.72</v>
      </c>
      <c r="F41" s="69">
        <v>16819.72</v>
      </c>
      <c r="G41" s="100">
        <v>0</v>
      </c>
      <c r="H41" s="71">
        <f t="shared" ref="H41:H42" si="34">L41*0.57</f>
        <v>3989.9999999999995</v>
      </c>
      <c r="I41" s="71">
        <f t="shared" ref="I41:I42" si="35">L41*0.23</f>
        <v>1610</v>
      </c>
      <c r="J41" s="71">
        <f t="shared" ref="J41:J42" si="36">L41*0.14</f>
        <v>980.00000000000011</v>
      </c>
      <c r="K41" s="71">
        <f t="shared" si="31"/>
        <v>420</v>
      </c>
      <c r="L41" s="72">
        <f>Q41-G41-M41</f>
        <v>7000</v>
      </c>
      <c r="M41" s="73">
        <v>0</v>
      </c>
      <c r="N41" s="71">
        <v>12000</v>
      </c>
      <c r="O41" s="71">
        <v>12000</v>
      </c>
      <c r="P41" s="156"/>
      <c r="Q41" s="101">
        <v>7000</v>
      </c>
      <c r="R41" s="69">
        <v>6083.9</v>
      </c>
      <c r="S41" s="77">
        <f t="shared" si="32"/>
        <v>0</v>
      </c>
      <c r="T41" s="78">
        <f t="shared" si="33"/>
        <v>0</v>
      </c>
      <c r="U41" s="79">
        <f>R41-S41-T41</f>
        <v>6083.9</v>
      </c>
      <c r="V41" s="80">
        <f t="shared" si="0"/>
        <v>86.912857142857135</v>
      </c>
      <c r="W41" s="81">
        <f t="shared" si="3"/>
        <v>36.171232339182815</v>
      </c>
    </row>
    <row r="42" spans="1:23" ht="12.2" customHeight="1" x14ac:dyDescent="0.2">
      <c r="A42" s="160">
        <v>3299</v>
      </c>
      <c r="B42" s="66" t="s">
        <v>62</v>
      </c>
      <c r="C42" s="67">
        <v>1672.5</v>
      </c>
      <c r="D42" s="68">
        <v>4892.5</v>
      </c>
      <c r="E42" s="69">
        <v>3077</v>
      </c>
      <c r="F42" s="69">
        <v>3615</v>
      </c>
      <c r="G42" s="100">
        <v>0</v>
      </c>
      <c r="H42" s="71">
        <f t="shared" si="34"/>
        <v>2849.9999999999995</v>
      </c>
      <c r="I42" s="71">
        <f t="shared" si="35"/>
        <v>1150</v>
      </c>
      <c r="J42" s="71">
        <f t="shared" si="36"/>
        <v>700.00000000000011</v>
      </c>
      <c r="K42" s="71">
        <f t="shared" si="31"/>
        <v>300</v>
      </c>
      <c r="L42" s="72">
        <f>Q42-G42-M42</f>
        <v>5000</v>
      </c>
      <c r="M42" s="73">
        <v>0</v>
      </c>
      <c r="N42" s="71">
        <v>5000</v>
      </c>
      <c r="O42" s="71">
        <v>5000</v>
      </c>
      <c r="P42" s="156"/>
      <c r="Q42" s="101">
        <v>5000</v>
      </c>
      <c r="R42" s="69">
        <v>3070</v>
      </c>
      <c r="S42" s="77">
        <f t="shared" si="32"/>
        <v>0</v>
      </c>
      <c r="T42" s="78">
        <f t="shared" si="33"/>
        <v>0</v>
      </c>
      <c r="U42" s="79">
        <f>R42-S42-T42</f>
        <v>3070</v>
      </c>
      <c r="V42" s="80">
        <f t="shared" si="0"/>
        <v>61.4</v>
      </c>
      <c r="W42" s="81">
        <f t="shared" si="3"/>
        <v>84.923928077455045</v>
      </c>
    </row>
    <row r="43" spans="1:23" ht="22.5" customHeight="1" x14ac:dyDescent="0.2">
      <c r="A43" s="161">
        <v>329</v>
      </c>
      <c r="B43" s="83" t="s">
        <v>63</v>
      </c>
      <c r="C43" s="84">
        <f>SUM(C39:C42)</f>
        <v>152180.45000000001</v>
      </c>
      <c r="D43" s="85">
        <f>SUM(D39:D42)</f>
        <v>149086.22</v>
      </c>
      <c r="E43" s="86">
        <f>SUM(E39:E42)</f>
        <v>155198.76</v>
      </c>
      <c r="F43" s="86">
        <f>SUM(F39:F42)</f>
        <v>147260.07</v>
      </c>
      <c r="G43" s="87">
        <f t="shared" ref="G43:O43" si="37">SUM(G39:G42)</f>
        <v>46443</v>
      </c>
      <c r="H43" s="88">
        <f t="shared" si="37"/>
        <v>20840.489999999998</v>
      </c>
      <c r="I43" s="88">
        <f t="shared" si="37"/>
        <v>8407.11</v>
      </c>
      <c r="J43" s="88">
        <f t="shared" si="37"/>
        <v>5116.9800000000005</v>
      </c>
      <c r="K43" s="88">
        <f t="shared" si="37"/>
        <v>2193.42</v>
      </c>
      <c r="L43" s="89">
        <f t="shared" si="37"/>
        <v>36557</v>
      </c>
      <c r="M43" s="90">
        <f t="shared" si="37"/>
        <v>0</v>
      </c>
      <c r="N43" s="91">
        <f t="shared" si="37"/>
        <v>139000</v>
      </c>
      <c r="O43" s="92">
        <f t="shared" si="37"/>
        <v>139000</v>
      </c>
      <c r="P43" s="93"/>
      <c r="Q43" s="94">
        <f>Q39+Q40+Q41+Q42</f>
        <v>83000</v>
      </c>
      <c r="R43" s="86">
        <f>SUM(R39:R42)</f>
        <v>79417.939999999988</v>
      </c>
      <c r="S43" s="95">
        <f>SUM(S39:S42)</f>
        <v>0</v>
      </c>
      <c r="T43" s="162">
        <f t="shared" ref="T43" si="38">SUM(T39:T42)</f>
        <v>46443</v>
      </c>
      <c r="U43" s="97">
        <f>SUM(U39:U42)</f>
        <v>32974.939999999995</v>
      </c>
      <c r="V43" s="98">
        <f t="shared" si="0"/>
        <v>95.684265060240946</v>
      </c>
      <c r="W43" s="99">
        <f t="shared" si="3"/>
        <v>53.930396746382094</v>
      </c>
    </row>
    <row r="44" spans="1:23" ht="12.2" customHeight="1" x14ac:dyDescent="0.2">
      <c r="A44" s="163">
        <v>32</v>
      </c>
      <c r="B44" s="164" t="s">
        <v>64</v>
      </c>
      <c r="C44" s="165">
        <f>C23+C29+C38+C43</f>
        <v>931020.07000000007</v>
      </c>
      <c r="D44" s="166">
        <f>D23+D29+D38+D43</f>
        <v>1119952.0900000001</v>
      </c>
      <c r="E44" s="167">
        <f>E23+E29+E38+E43</f>
        <v>1252343.7999999998</v>
      </c>
      <c r="F44" s="167">
        <f>F23+F29+F38+F43</f>
        <v>1190613.47</v>
      </c>
      <c r="G44" s="133">
        <f t="shared" ref="G44:Q44" si="39">G23+G29+G38+G43</f>
        <v>423371</v>
      </c>
      <c r="H44" s="168">
        <f t="shared" si="39"/>
        <v>191569.02999999997</v>
      </c>
      <c r="I44" s="168">
        <f>I23+I29+I38+I43</f>
        <v>77296.17</v>
      </c>
      <c r="J44" s="168">
        <f>J23+J29+J38+J43</f>
        <v>47049.060000000005</v>
      </c>
      <c r="K44" s="168">
        <f>K23+K29+K38+K43</f>
        <v>20164.739999999998</v>
      </c>
      <c r="L44" s="169">
        <f t="shared" si="39"/>
        <v>336079</v>
      </c>
      <c r="M44" s="170">
        <f t="shared" si="39"/>
        <v>1000</v>
      </c>
      <c r="N44" s="168">
        <f t="shared" si="39"/>
        <v>875450</v>
      </c>
      <c r="O44" s="168">
        <f t="shared" si="39"/>
        <v>875450</v>
      </c>
      <c r="P44" s="171">
        <f t="shared" si="39"/>
        <v>0</v>
      </c>
      <c r="Q44" s="94">
        <f t="shared" si="39"/>
        <v>760450</v>
      </c>
      <c r="R44" s="167">
        <f>R23+R29+R38+R43</f>
        <v>735576.40999999992</v>
      </c>
      <c r="S44" s="172">
        <f>S23+S29+S38+S43</f>
        <v>1000</v>
      </c>
      <c r="T44" s="173">
        <f>T23+T29+T38+T43</f>
        <v>423371</v>
      </c>
      <c r="U44" s="174">
        <f>U23+U29+U38+U43</f>
        <v>311205.40999999997</v>
      </c>
      <c r="V44" s="175">
        <f t="shared" si="0"/>
        <v>96.72909593004141</v>
      </c>
      <c r="W44" s="144">
        <f t="shared" si="3"/>
        <v>61.781294142422219</v>
      </c>
    </row>
    <row r="45" spans="1:23" ht="12.2" hidden="1" customHeight="1" x14ac:dyDescent="0.2">
      <c r="A45" s="160">
        <v>3431</v>
      </c>
      <c r="B45" s="66" t="s">
        <v>65</v>
      </c>
      <c r="C45" s="67">
        <v>172.9</v>
      </c>
      <c r="D45" s="68">
        <v>0</v>
      </c>
      <c r="E45" s="69">
        <v>0</v>
      </c>
      <c r="F45" s="69">
        <v>0</v>
      </c>
      <c r="G45" s="100">
        <v>0</v>
      </c>
      <c r="H45" s="71">
        <f>L45*0.57</f>
        <v>0</v>
      </c>
      <c r="I45" s="71">
        <f>L45*0.23</f>
        <v>0</v>
      </c>
      <c r="J45" s="71">
        <f>L45*0.14</f>
        <v>0</v>
      </c>
      <c r="K45" s="71">
        <f>L45*0.06</f>
        <v>0</v>
      </c>
      <c r="L45" s="72">
        <f>Q45-G45-M45</f>
        <v>0</v>
      </c>
      <c r="M45" s="73">
        <v>0</v>
      </c>
      <c r="N45" s="71">
        <v>3000</v>
      </c>
      <c r="O45" s="74">
        <v>3000</v>
      </c>
      <c r="P45" s="75"/>
      <c r="Q45" s="101">
        <v>0</v>
      </c>
      <c r="R45" s="69">
        <v>0</v>
      </c>
      <c r="S45" s="77">
        <v>0</v>
      </c>
      <c r="T45" s="176">
        <v>0</v>
      </c>
      <c r="U45" s="79">
        <f>R45-S45-T45</f>
        <v>0</v>
      </c>
      <c r="V45" s="80">
        <v>0</v>
      </c>
      <c r="W45" s="99" t="e">
        <f t="shared" si="3"/>
        <v>#DIV/0!</v>
      </c>
    </row>
    <row r="46" spans="1:23" ht="12.2" hidden="1" customHeight="1" x14ac:dyDescent="0.2">
      <c r="A46" s="177">
        <v>343</v>
      </c>
      <c r="B46" s="178" t="s">
        <v>66</v>
      </c>
      <c r="C46" s="67">
        <f>C45</f>
        <v>172.9</v>
      </c>
      <c r="D46" s="68">
        <v>0</v>
      </c>
      <c r="E46" s="69">
        <v>0</v>
      </c>
      <c r="F46" s="69">
        <v>0</v>
      </c>
      <c r="G46" s="100">
        <f t="shared" ref="G46:O47" si="40">G45</f>
        <v>0</v>
      </c>
      <c r="H46" s="71">
        <f t="shared" si="40"/>
        <v>0</v>
      </c>
      <c r="I46" s="71">
        <f t="shared" si="40"/>
        <v>0</v>
      </c>
      <c r="J46" s="71">
        <f t="shared" si="40"/>
        <v>0</v>
      </c>
      <c r="K46" s="71">
        <f t="shared" si="40"/>
        <v>0</v>
      </c>
      <c r="L46" s="72">
        <f t="shared" si="40"/>
        <v>0</v>
      </c>
      <c r="M46" s="73">
        <f t="shared" si="40"/>
        <v>0</v>
      </c>
      <c r="N46" s="179">
        <f t="shared" si="40"/>
        <v>3000</v>
      </c>
      <c r="O46" s="74">
        <f t="shared" si="40"/>
        <v>3000</v>
      </c>
      <c r="P46" s="75"/>
      <c r="Q46" s="101">
        <v>0</v>
      </c>
      <c r="R46" s="69">
        <v>0</v>
      </c>
      <c r="S46" s="77">
        <f t="shared" ref="S46:U47" si="41">S45</f>
        <v>0</v>
      </c>
      <c r="T46" s="176">
        <f t="shared" si="41"/>
        <v>0</v>
      </c>
      <c r="U46" s="79">
        <f t="shared" si="41"/>
        <v>0</v>
      </c>
      <c r="V46" s="80">
        <v>0</v>
      </c>
      <c r="W46" s="99" t="e">
        <f t="shared" si="3"/>
        <v>#DIV/0!</v>
      </c>
    </row>
    <row r="47" spans="1:23" ht="12.2" hidden="1" customHeight="1" x14ac:dyDescent="0.2">
      <c r="A47" s="163">
        <v>34</v>
      </c>
      <c r="B47" s="164" t="s">
        <v>67</v>
      </c>
      <c r="C47" s="180">
        <f t="shared" ref="C47" si="42">C46</f>
        <v>172.9</v>
      </c>
      <c r="D47" s="181">
        <v>0</v>
      </c>
      <c r="E47" s="182">
        <v>0</v>
      </c>
      <c r="F47" s="182">
        <v>0</v>
      </c>
      <c r="G47" s="100">
        <f t="shared" si="40"/>
        <v>0</v>
      </c>
      <c r="H47" s="183">
        <f t="shared" si="40"/>
        <v>0</v>
      </c>
      <c r="I47" s="183">
        <f t="shared" si="40"/>
        <v>0</v>
      </c>
      <c r="J47" s="183">
        <f t="shared" si="40"/>
        <v>0</v>
      </c>
      <c r="K47" s="183">
        <f t="shared" si="40"/>
        <v>0</v>
      </c>
      <c r="L47" s="184">
        <f t="shared" si="40"/>
        <v>0</v>
      </c>
      <c r="M47" s="185">
        <f t="shared" si="40"/>
        <v>0</v>
      </c>
      <c r="N47" s="186">
        <f t="shared" si="40"/>
        <v>3000</v>
      </c>
      <c r="O47" s="186">
        <f t="shared" si="40"/>
        <v>3000</v>
      </c>
      <c r="P47" s="187"/>
      <c r="Q47" s="101">
        <v>0</v>
      </c>
      <c r="R47" s="182">
        <v>0</v>
      </c>
      <c r="S47" s="188">
        <f t="shared" si="41"/>
        <v>0</v>
      </c>
      <c r="T47" s="189">
        <f t="shared" si="41"/>
        <v>0</v>
      </c>
      <c r="U47" s="190">
        <f t="shared" si="41"/>
        <v>0</v>
      </c>
      <c r="V47" s="191">
        <v>0</v>
      </c>
      <c r="W47" s="99" t="e">
        <f t="shared" si="3"/>
        <v>#DIV/0!</v>
      </c>
    </row>
    <row r="48" spans="1:23" ht="12.2" customHeight="1" x14ac:dyDescent="0.2">
      <c r="A48" s="192">
        <v>3</v>
      </c>
      <c r="B48" s="193" t="s">
        <v>68</v>
      </c>
      <c r="C48" s="194">
        <f>C19+C44+C47</f>
        <v>7508653.1500000013</v>
      </c>
      <c r="D48" s="195">
        <f>D19+D44+D47</f>
        <v>7764854.6300000008</v>
      </c>
      <c r="E48" s="196">
        <f>E19+E44+E47</f>
        <v>7825673.6200000001</v>
      </c>
      <c r="F48" s="196">
        <f>F19+F44+F47</f>
        <v>7914861.7800000003</v>
      </c>
      <c r="G48" s="197">
        <f t="shared" ref="G48:Q48" si="43">G19+G44+G47</f>
        <v>4212501</v>
      </c>
      <c r="H48" s="198">
        <f>H19+H44+H47</f>
        <v>1814862.53</v>
      </c>
      <c r="I48" s="198">
        <f>I19+I44+I47</f>
        <v>732303.27</v>
      </c>
      <c r="J48" s="198">
        <f>J19+J44+J47</f>
        <v>445748.86000000004</v>
      </c>
      <c r="K48" s="198">
        <f>K19+K44+K47</f>
        <v>191034.93999999997</v>
      </c>
      <c r="L48" s="199">
        <f t="shared" si="43"/>
        <v>3183949</v>
      </c>
      <c r="M48" s="200">
        <f t="shared" si="43"/>
        <v>1000</v>
      </c>
      <c r="N48" s="201">
        <f t="shared" si="43"/>
        <v>7946550</v>
      </c>
      <c r="O48" s="201">
        <f t="shared" si="43"/>
        <v>8050650</v>
      </c>
      <c r="P48" s="201">
        <f t="shared" si="43"/>
        <v>0</v>
      </c>
      <c r="Q48" s="94">
        <f t="shared" si="43"/>
        <v>7397450</v>
      </c>
      <c r="R48" s="196">
        <f>R19+R44+R47</f>
        <v>7203399.71</v>
      </c>
      <c r="S48" s="202">
        <f>S19+S44+S47</f>
        <v>1000</v>
      </c>
      <c r="T48" s="203">
        <f>T19+T44+T47</f>
        <v>4212501</v>
      </c>
      <c r="U48" s="204">
        <f>U19+U44+U47</f>
        <v>2989898.7100000004</v>
      </c>
      <c r="V48" s="205">
        <f t="shared" si="0"/>
        <v>97.376794841465639</v>
      </c>
      <c r="W48" s="206">
        <f t="shared" si="3"/>
        <v>91.011061345407342</v>
      </c>
    </row>
    <row r="49" spans="1:23" s="223" customFormat="1" ht="12.2" customHeight="1" x14ac:dyDescent="0.2">
      <c r="A49" s="207">
        <v>4221</v>
      </c>
      <c r="B49" s="208" t="s">
        <v>69</v>
      </c>
      <c r="C49" s="209">
        <v>0</v>
      </c>
      <c r="D49" s="210">
        <v>5706.65</v>
      </c>
      <c r="E49" s="211">
        <v>9999.75</v>
      </c>
      <c r="F49" s="211">
        <v>2799.96</v>
      </c>
      <c r="G49" s="212">
        <v>0</v>
      </c>
      <c r="H49" s="213">
        <f>L49*0.57</f>
        <v>6269.9999999999991</v>
      </c>
      <c r="I49" s="213">
        <f>L49*0.23</f>
        <v>2530</v>
      </c>
      <c r="J49" s="213">
        <f t="shared" ref="J49:J54" si="44">L49*0.14</f>
        <v>1540.0000000000002</v>
      </c>
      <c r="K49" s="213">
        <f>L49*0.06</f>
        <v>660</v>
      </c>
      <c r="L49" s="214">
        <f t="shared" ref="L49:L57" si="45">Q49-G49-M49</f>
        <v>11000</v>
      </c>
      <c r="M49" s="215">
        <v>0</v>
      </c>
      <c r="N49" s="216"/>
      <c r="O49" s="217"/>
      <c r="P49" s="218"/>
      <c r="Q49" s="101">
        <v>11000</v>
      </c>
      <c r="R49" s="211">
        <v>9857.25</v>
      </c>
      <c r="S49" s="219">
        <f>M49</f>
        <v>0</v>
      </c>
      <c r="T49" s="220">
        <v>0</v>
      </c>
      <c r="U49" s="221">
        <f t="shared" ref="U49:U57" si="46">R49-S49-T49</f>
        <v>9857.25</v>
      </c>
      <c r="V49" s="222">
        <f t="shared" si="0"/>
        <v>89.611363636363635</v>
      </c>
      <c r="W49" s="81">
        <f t="shared" si="3"/>
        <v>352.04967213817338</v>
      </c>
    </row>
    <row r="50" spans="1:23" s="223" customFormat="1" ht="12.2" customHeight="1" x14ac:dyDescent="0.2">
      <c r="A50" s="207">
        <v>4223</v>
      </c>
      <c r="B50" s="208" t="s">
        <v>70</v>
      </c>
      <c r="C50" s="209">
        <v>69138.5</v>
      </c>
      <c r="D50" s="210">
        <v>159686.92000000001</v>
      </c>
      <c r="E50" s="211">
        <v>86140</v>
      </c>
      <c r="F50" s="211">
        <v>109229.58</v>
      </c>
      <c r="G50" s="212">
        <v>0</v>
      </c>
      <c r="H50" s="213">
        <f t="shared" ref="H50:H54" si="47">L50*0.57</f>
        <v>9690</v>
      </c>
      <c r="I50" s="213">
        <f t="shared" ref="I50:I51" si="48">L50*0.23</f>
        <v>3910</v>
      </c>
      <c r="J50" s="213">
        <f t="shared" si="44"/>
        <v>2380</v>
      </c>
      <c r="K50" s="213">
        <f t="shared" ref="K50:K51" si="49">L50*0.06</f>
        <v>1020</v>
      </c>
      <c r="L50" s="214">
        <f t="shared" si="45"/>
        <v>17000</v>
      </c>
      <c r="M50" s="215">
        <v>9490</v>
      </c>
      <c r="N50" s="216"/>
      <c r="O50" s="217"/>
      <c r="P50" s="218"/>
      <c r="Q50" s="101">
        <v>26490</v>
      </c>
      <c r="R50" s="211">
        <v>26486.3</v>
      </c>
      <c r="S50" s="219">
        <f t="shared" ref="S50:S57" si="50">M50</f>
        <v>9490</v>
      </c>
      <c r="T50" s="220">
        <v>0</v>
      </c>
      <c r="U50" s="221">
        <f t="shared" si="46"/>
        <v>16996.3</v>
      </c>
      <c r="V50" s="222">
        <f t="shared" si="0"/>
        <v>99.986032465081166</v>
      </c>
      <c r="W50" s="81">
        <f t="shared" si="3"/>
        <v>24.248285125695805</v>
      </c>
    </row>
    <row r="51" spans="1:23" s="223" customFormat="1" ht="12.2" customHeight="1" x14ac:dyDescent="0.2">
      <c r="A51" s="207">
        <v>4262</v>
      </c>
      <c r="B51" s="208" t="s">
        <v>71</v>
      </c>
      <c r="C51" s="224">
        <v>0</v>
      </c>
      <c r="D51" s="225">
        <v>0</v>
      </c>
      <c r="E51" s="226">
        <v>0</v>
      </c>
      <c r="F51" s="226">
        <v>2085</v>
      </c>
      <c r="G51" s="212">
        <v>0</v>
      </c>
      <c r="H51" s="213">
        <f t="shared" si="47"/>
        <v>1140</v>
      </c>
      <c r="I51" s="213">
        <f t="shared" si="48"/>
        <v>460</v>
      </c>
      <c r="J51" s="213">
        <f t="shared" si="44"/>
        <v>280</v>
      </c>
      <c r="K51" s="213">
        <f t="shared" si="49"/>
        <v>120</v>
      </c>
      <c r="L51" s="214">
        <f t="shared" si="45"/>
        <v>2000</v>
      </c>
      <c r="M51" s="227">
        <v>0</v>
      </c>
      <c r="N51" s="228"/>
      <c r="O51" s="229"/>
      <c r="P51" s="230"/>
      <c r="Q51" s="101">
        <v>2000</v>
      </c>
      <c r="R51" s="226">
        <v>3948</v>
      </c>
      <c r="S51" s="219">
        <v>2100</v>
      </c>
      <c r="T51" s="231">
        <v>0</v>
      </c>
      <c r="U51" s="221">
        <f t="shared" si="46"/>
        <v>1848</v>
      </c>
      <c r="V51" s="222">
        <f t="shared" si="0"/>
        <v>197.4</v>
      </c>
      <c r="W51" s="81">
        <f t="shared" si="3"/>
        <v>189.35251798561151</v>
      </c>
    </row>
    <row r="52" spans="1:23" ht="22.5" x14ac:dyDescent="0.2">
      <c r="A52" s="160">
        <v>4263</v>
      </c>
      <c r="B52" s="66" t="s">
        <v>72</v>
      </c>
      <c r="C52" s="232">
        <v>125640.96000000001</v>
      </c>
      <c r="D52" s="233">
        <v>105000</v>
      </c>
      <c r="E52" s="234">
        <v>0</v>
      </c>
      <c r="F52" s="234">
        <v>24375</v>
      </c>
      <c r="G52" s="235">
        <v>0</v>
      </c>
      <c r="H52" s="213">
        <f>L52*0.57-1</f>
        <v>251254.99999999997</v>
      </c>
      <c r="I52" s="213">
        <f>L52*0.23+1</f>
        <v>101385</v>
      </c>
      <c r="J52" s="213">
        <f t="shared" si="44"/>
        <v>61712.000000000007</v>
      </c>
      <c r="K52" s="213">
        <f>L52*0.06</f>
        <v>26448</v>
      </c>
      <c r="L52" s="214">
        <f t="shared" si="45"/>
        <v>440800</v>
      </c>
      <c r="M52" s="236">
        <v>0</v>
      </c>
      <c r="N52" s="237">
        <v>50000</v>
      </c>
      <c r="O52" s="238">
        <v>50000</v>
      </c>
      <c r="P52" s="239"/>
      <c r="Q52" s="101">
        <v>440800</v>
      </c>
      <c r="R52" s="234">
        <v>430799.76</v>
      </c>
      <c r="S52" s="219">
        <f t="shared" si="50"/>
        <v>0</v>
      </c>
      <c r="T52" s="240">
        <v>0</v>
      </c>
      <c r="U52" s="221">
        <f t="shared" si="46"/>
        <v>430799.76</v>
      </c>
      <c r="V52" s="222">
        <f t="shared" si="0"/>
        <v>97.731343012704173</v>
      </c>
      <c r="W52" s="81">
        <f t="shared" si="3"/>
        <v>1767.3836307692309</v>
      </c>
    </row>
    <row r="53" spans="1:23" x14ac:dyDescent="0.2">
      <c r="A53" s="160">
        <v>3821</v>
      </c>
      <c r="B53" s="66" t="s">
        <v>73</v>
      </c>
      <c r="C53" s="241">
        <v>0</v>
      </c>
      <c r="D53" s="242">
        <v>0</v>
      </c>
      <c r="E53" s="243">
        <v>0</v>
      </c>
      <c r="F53" s="243">
        <v>0</v>
      </c>
      <c r="G53" s="235">
        <v>0</v>
      </c>
      <c r="H53" s="213">
        <f t="shared" si="47"/>
        <v>0</v>
      </c>
      <c r="I53" s="213">
        <f>L53*0.23</f>
        <v>0</v>
      </c>
      <c r="J53" s="213">
        <f t="shared" si="44"/>
        <v>0</v>
      </c>
      <c r="K53" s="213">
        <f>L53*0.06</f>
        <v>0</v>
      </c>
      <c r="L53" s="214">
        <f t="shared" si="45"/>
        <v>0</v>
      </c>
      <c r="M53" s="244">
        <v>8500</v>
      </c>
      <c r="N53" s="245"/>
      <c r="O53" s="246"/>
      <c r="P53" s="247"/>
      <c r="Q53" s="101">
        <v>8500</v>
      </c>
      <c r="R53" s="243">
        <v>8500</v>
      </c>
      <c r="S53" s="219">
        <f t="shared" si="50"/>
        <v>8500</v>
      </c>
      <c r="T53" s="240">
        <v>0</v>
      </c>
      <c r="U53" s="221">
        <f t="shared" si="46"/>
        <v>0</v>
      </c>
      <c r="V53" s="222">
        <v>0</v>
      </c>
      <c r="W53" s="81">
        <v>0</v>
      </c>
    </row>
    <row r="54" spans="1:23" x14ac:dyDescent="0.2">
      <c r="A54" s="65">
        <v>4231</v>
      </c>
      <c r="B54" s="66" t="s">
        <v>74</v>
      </c>
      <c r="C54" s="248">
        <v>0</v>
      </c>
      <c r="D54" s="249">
        <v>0</v>
      </c>
      <c r="E54" s="250">
        <v>1160763.75</v>
      </c>
      <c r="F54" s="250">
        <v>0</v>
      </c>
      <c r="G54" s="235">
        <v>0</v>
      </c>
      <c r="H54" s="213">
        <f t="shared" si="47"/>
        <v>0</v>
      </c>
      <c r="I54" s="251">
        <f>L54*0.23</f>
        <v>0</v>
      </c>
      <c r="J54" s="251">
        <f t="shared" si="44"/>
        <v>0</v>
      </c>
      <c r="K54" s="251">
        <f>L54*0.06</f>
        <v>0</v>
      </c>
      <c r="L54" s="252">
        <f t="shared" si="45"/>
        <v>0</v>
      </c>
      <c r="M54" s="253">
        <v>0</v>
      </c>
      <c r="N54" s="254">
        <v>0</v>
      </c>
      <c r="O54" s="255">
        <v>0</v>
      </c>
      <c r="P54" s="256"/>
      <c r="Q54" s="101">
        <v>0</v>
      </c>
      <c r="R54" s="250">
        <v>0</v>
      </c>
      <c r="S54" s="219">
        <f t="shared" si="50"/>
        <v>0</v>
      </c>
      <c r="T54" s="257">
        <v>0</v>
      </c>
      <c r="U54" s="221">
        <f t="shared" si="46"/>
        <v>0</v>
      </c>
      <c r="V54" s="222">
        <v>0</v>
      </c>
      <c r="W54" s="81">
        <v>0</v>
      </c>
    </row>
    <row r="55" spans="1:23" x14ac:dyDescent="0.2">
      <c r="A55" s="258">
        <v>5445</v>
      </c>
      <c r="B55" s="259" t="s">
        <v>75</v>
      </c>
      <c r="C55" s="145">
        <v>0</v>
      </c>
      <c r="D55" s="146">
        <v>0</v>
      </c>
      <c r="E55" s="260">
        <v>232152.75</v>
      </c>
      <c r="F55" s="260">
        <v>165739.46</v>
      </c>
      <c r="G55" s="261">
        <v>0</v>
      </c>
      <c r="H55" s="251">
        <v>100607</v>
      </c>
      <c r="I55" s="251">
        <v>40862</v>
      </c>
      <c r="J55" s="251">
        <v>24872</v>
      </c>
      <c r="K55" s="251">
        <v>10659</v>
      </c>
      <c r="L55" s="252">
        <f t="shared" si="45"/>
        <v>177000</v>
      </c>
      <c r="M55" s="262">
        <v>0</v>
      </c>
      <c r="N55" s="148"/>
      <c r="O55" s="263"/>
      <c r="P55" s="264"/>
      <c r="Q55" s="101">
        <v>177000</v>
      </c>
      <c r="R55" s="260">
        <v>175088.37</v>
      </c>
      <c r="S55" s="219">
        <f t="shared" si="50"/>
        <v>0</v>
      </c>
      <c r="T55" s="265">
        <v>0</v>
      </c>
      <c r="U55" s="221">
        <f t="shared" si="46"/>
        <v>175088.37</v>
      </c>
      <c r="V55" s="222">
        <f t="shared" si="0"/>
        <v>98.919983050847463</v>
      </c>
      <c r="W55" s="81">
        <f t="shared" si="3"/>
        <v>105.64072671649829</v>
      </c>
    </row>
    <row r="56" spans="1:23" x14ac:dyDescent="0.2">
      <c r="A56" s="258">
        <v>3423</v>
      </c>
      <c r="B56" s="259" t="s">
        <v>76</v>
      </c>
      <c r="C56" s="145">
        <v>0</v>
      </c>
      <c r="D56" s="146">
        <v>0</v>
      </c>
      <c r="E56" s="260">
        <v>0</v>
      </c>
      <c r="F56" s="260">
        <v>46936.9</v>
      </c>
      <c r="G56" s="261">
        <v>0</v>
      </c>
      <c r="H56" s="251">
        <v>21664</v>
      </c>
      <c r="I56" s="251">
        <v>8738</v>
      </c>
      <c r="J56" s="251">
        <v>5319</v>
      </c>
      <c r="K56" s="251">
        <v>2279</v>
      </c>
      <c r="L56" s="252">
        <f t="shared" si="45"/>
        <v>38000</v>
      </c>
      <c r="M56" s="262">
        <v>0</v>
      </c>
      <c r="N56" s="148"/>
      <c r="O56" s="263"/>
      <c r="P56" s="264"/>
      <c r="Q56" s="101">
        <v>38000</v>
      </c>
      <c r="R56" s="260">
        <v>37587.99</v>
      </c>
      <c r="S56" s="219">
        <f t="shared" si="50"/>
        <v>0</v>
      </c>
      <c r="T56" s="265">
        <v>0</v>
      </c>
      <c r="U56" s="221">
        <f t="shared" si="46"/>
        <v>37587.99</v>
      </c>
      <c r="V56" s="222">
        <f t="shared" si="0"/>
        <v>98.91576315789473</v>
      </c>
      <c r="W56" s="81">
        <f t="shared" si="3"/>
        <v>80.081961100967462</v>
      </c>
    </row>
    <row r="57" spans="1:23" x14ac:dyDescent="0.2">
      <c r="A57" s="258">
        <v>3299</v>
      </c>
      <c r="B57" s="259" t="s">
        <v>77</v>
      </c>
      <c r="C57" s="145">
        <v>0</v>
      </c>
      <c r="D57" s="146">
        <v>0</v>
      </c>
      <c r="E57" s="260">
        <v>8705.73</v>
      </c>
      <c r="F57" s="260">
        <v>0</v>
      </c>
      <c r="G57" s="261">
        <v>0</v>
      </c>
      <c r="H57" s="251">
        <f t="shared" ref="H57" si="51">L57*0.57</f>
        <v>0</v>
      </c>
      <c r="I57" s="251">
        <f t="shared" ref="I57" si="52">L57*0.23</f>
        <v>0</v>
      </c>
      <c r="J57" s="251">
        <f t="shared" ref="J57" si="53">L57*0.14</f>
        <v>0</v>
      </c>
      <c r="K57" s="251">
        <f t="shared" ref="K57" si="54">L57*0.06</f>
        <v>0</v>
      </c>
      <c r="L57" s="252">
        <f t="shared" si="45"/>
        <v>0</v>
      </c>
      <c r="M57" s="262">
        <v>0</v>
      </c>
      <c r="N57" s="148"/>
      <c r="O57" s="263"/>
      <c r="P57" s="264"/>
      <c r="Q57" s="101">
        <v>0</v>
      </c>
      <c r="R57" s="260">
        <v>0</v>
      </c>
      <c r="S57" s="219">
        <f t="shared" si="50"/>
        <v>0</v>
      </c>
      <c r="T57" s="265">
        <v>0</v>
      </c>
      <c r="U57" s="221">
        <f t="shared" si="46"/>
        <v>0</v>
      </c>
      <c r="V57" s="222">
        <v>0</v>
      </c>
      <c r="W57" s="81">
        <v>0</v>
      </c>
    </row>
    <row r="58" spans="1:23" ht="28.5" customHeight="1" thickBot="1" x14ac:dyDescent="0.25">
      <c r="A58" s="266" t="s">
        <v>78</v>
      </c>
      <c r="B58" s="267" t="s">
        <v>79</v>
      </c>
      <c r="C58" s="268">
        <f t="shared" ref="C58:H58" si="55">SUM(C49:C57)</f>
        <v>194779.46000000002</v>
      </c>
      <c r="D58" s="269">
        <f t="shared" si="55"/>
        <v>270393.57</v>
      </c>
      <c r="E58" s="270">
        <f t="shared" si="55"/>
        <v>1497761.98</v>
      </c>
      <c r="F58" s="270">
        <f t="shared" si="55"/>
        <v>351165.9</v>
      </c>
      <c r="G58" s="271">
        <f t="shared" si="55"/>
        <v>0</v>
      </c>
      <c r="H58" s="272">
        <f t="shared" si="55"/>
        <v>390626</v>
      </c>
      <c r="I58" s="272">
        <f t="shared" ref="I58:L58" si="56">SUM(I49:I57)</f>
        <v>157885</v>
      </c>
      <c r="J58" s="272">
        <f t="shared" si="56"/>
        <v>96103</v>
      </c>
      <c r="K58" s="272">
        <f t="shared" si="56"/>
        <v>41186</v>
      </c>
      <c r="L58" s="272">
        <f t="shared" si="56"/>
        <v>685800</v>
      </c>
      <c r="M58" s="273">
        <f>SUM(M49:M57)</f>
        <v>17990</v>
      </c>
      <c r="N58" s="274">
        <f t="shared" ref="N58:P58" si="57">SUM(N52:N54)</f>
        <v>50000</v>
      </c>
      <c r="O58" s="274">
        <f t="shared" si="57"/>
        <v>50000</v>
      </c>
      <c r="P58" s="275">
        <f t="shared" si="57"/>
        <v>0</v>
      </c>
      <c r="Q58" s="276">
        <f>SUM(Q49:Q57)</f>
        <v>703790</v>
      </c>
      <c r="R58" s="270">
        <f>SUM(R49:R57)</f>
        <v>692267.66999999993</v>
      </c>
      <c r="S58" s="277">
        <f>SUM(S49:S57)</f>
        <v>20090</v>
      </c>
      <c r="T58" s="278">
        <f>SUM(T52:T57)</f>
        <v>0</v>
      </c>
      <c r="U58" s="279">
        <f>SUM(U49:U57)</f>
        <v>672177.66999999993</v>
      </c>
      <c r="V58" s="280">
        <f t="shared" si="0"/>
        <v>98.362817033490089</v>
      </c>
      <c r="W58" s="281">
        <f t="shared" si="3"/>
        <v>197.13408107108344</v>
      </c>
    </row>
    <row r="59" spans="1:23" ht="14.25" customHeight="1" thickBot="1" x14ac:dyDescent="0.25">
      <c r="A59" s="282"/>
      <c r="B59" s="283" t="s">
        <v>80</v>
      </c>
      <c r="C59" s="284">
        <f>C48+C58</f>
        <v>7703432.6100000013</v>
      </c>
      <c r="D59" s="285">
        <f>D48+D58</f>
        <v>8035248.2000000011</v>
      </c>
      <c r="E59" s="286">
        <f t="shared" ref="E59:F59" si="58">E48+E58</f>
        <v>9323435.5999999996</v>
      </c>
      <c r="F59" s="286">
        <f t="shared" si="58"/>
        <v>8266027.6800000006</v>
      </c>
      <c r="G59" s="287">
        <f>G48</f>
        <v>4212501</v>
      </c>
      <c r="H59" s="288">
        <f t="shared" ref="H59:U59" si="59">H48+H58</f>
        <v>2205488.5300000003</v>
      </c>
      <c r="I59" s="288">
        <f t="shared" si="59"/>
        <v>890188.27</v>
      </c>
      <c r="J59" s="288">
        <f t="shared" si="59"/>
        <v>541851.8600000001</v>
      </c>
      <c r="K59" s="288">
        <f>K48+K58</f>
        <v>232220.93999999997</v>
      </c>
      <c r="L59" s="289">
        <f t="shared" si="59"/>
        <v>3869749</v>
      </c>
      <c r="M59" s="290">
        <f t="shared" si="59"/>
        <v>18990</v>
      </c>
      <c r="N59" s="290">
        <f t="shared" si="59"/>
        <v>7996550</v>
      </c>
      <c r="O59" s="290">
        <f t="shared" si="59"/>
        <v>8100650</v>
      </c>
      <c r="P59" s="290">
        <f t="shared" si="59"/>
        <v>0</v>
      </c>
      <c r="Q59" s="291">
        <f t="shared" si="59"/>
        <v>8101240</v>
      </c>
      <c r="R59" s="286">
        <f t="shared" si="59"/>
        <v>7895667.3799999999</v>
      </c>
      <c r="S59" s="292">
        <f t="shared" si="59"/>
        <v>21090</v>
      </c>
      <c r="T59" s="293">
        <f t="shared" si="59"/>
        <v>4212501</v>
      </c>
      <c r="U59" s="294">
        <f t="shared" si="59"/>
        <v>3662076.3800000004</v>
      </c>
      <c r="V59" s="295">
        <f t="shared" si="0"/>
        <v>97.462454883449951</v>
      </c>
      <c r="W59" s="296">
        <f t="shared" si="3"/>
        <v>95.519488751578905</v>
      </c>
    </row>
    <row r="60" spans="1:23" ht="14.25" hidden="1" customHeight="1" x14ac:dyDescent="0.2">
      <c r="A60" s="297"/>
      <c r="B60" s="298" t="s">
        <v>81</v>
      </c>
      <c r="C60" s="299"/>
      <c r="D60" s="300"/>
      <c r="E60" s="301"/>
      <c r="F60" s="301"/>
      <c r="G60" s="302">
        <f>G48+G59</f>
        <v>8425002</v>
      </c>
      <c r="H60" s="303"/>
      <c r="I60" s="303"/>
      <c r="J60" s="303"/>
      <c r="K60" s="303"/>
      <c r="L60" s="304">
        <f>G59+L59</f>
        <v>8082250</v>
      </c>
      <c r="M60" s="305"/>
      <c r="N60" s="303">
        <f>N59-100000</f>
        <v>7896550</v>
      </c>
      <c r="O60" s="299">
        <f>O59-100000</f>
        <v>8000650</v>
      </c>
      <c r="P60" s="299"/>
      <c r="Q60" s="306">
        <f>SUM(Q52:Q59)</f>
        <v>9469330</v>
      </c>
      <c r="R60" s="300"/>
      <c r="S60" s="300"/>
      <c r="T60" s="300"/>
      <c r="U60" s="300"/>
      <c r="V60" s="300"/>
      <c r="W60" s="300"/>
    </row>
    <row r="61" spans="1:23" ht="12" hidden="1" thickBot="1" x14ac:dyDescent="0.25">
      <c r="A61" s="307"/>
      <c r="B61" s="308" t="s">
        <v>82</v>
      </c>
      <c r="C61" s="92">
        <v>7963147</v>
      </c>
      <c r="D61" s="98"/>
      <c r="E61" s="301"/>
      <c r="F61" s="301"/>
      <c r="G61" s="309">
        <v>0</v>
      </c>
      <c r="H61" s="88"/>
      <c r="I61" s="88"/>
      <c r="J61" s="88"/>
      <c r="K61" s="88"/>
      <c r="L61" s="310">
        <v>8019425</v>
      </c>
      <c r="M61" s="310"/>
      <c r="N61" s="310">
        <v>8610725</v>
      </c>
      <c r="O61" s="310">
        <v>7675155</v>
      </c>
      <c r="P61" s="310"/>
      <c r="Q61" s="311">
        <f>Q48+Q60</f>
        <v>16866780</v>
      </c>
      <c r="R61" s="98"/>
      <c r="S61" s="98"/>
      <c r="T61" s="98"/>
      <c r="U61" s="98"/>
      <c r="V61" s="98"/>
      <c r="W61" s="98"/>
    </row>
    <row r="62" spans="1:23" ht="12" hidden="1" thickBot="1" x14ac:dyDescent="0.25">
      <c r="A62" s="307"/>
      <c r="B62" s="308" t="s">
        <v>83</v>
      </c>
      <c r="C62" s="92">
        <f>C60-C61</f>
        <v>-7963147</v>
      </c>
      <c r="D62" s="98"/>
      <c r="E62" s="301"/>
      <c r="F62" s="301"/>
      <c r="G62" s="312">
        <f t="shared" ref="G62" si="60">G60+G61</f>
        <v>8425002</v>
      </c>
      <c r="H62" s="88"/>
      <c r="I62" s="88"/>
      <c r="J62" s="88"/>
      <c r="K62" s="88"/>
      <c r="L62" s="310">
        <f>L60-L61</f>
        <v>62825</v>
      </c>
      <c r="M62" s="310"/>
      <c r="N62" s="310">
        <f>N60-N61</f>
        <v>-714175</v>
      </c>
      <c r="O62" s="310">
        <f>O60-O61</f>
        <v>325495</v>
      </c>
      <c r="P62" s="310"/>
      <c r="Q62" s="98"/>
      <c r="R62" s="98"/>
      <c r="S62" s="98"/>
      <c r="T62" s="98"/>
      <c r="U62" s="98"/>
      <c r="V62" s="98"/>
      <c r="W62" s="98"/>
    </row>
    <row r="63" spans="1:23" hidden="1" x14ac:dyDescent="0.2">
      <c r="A63" s="307"/>
      <c r="B63" s="313" t="s">
        <v>84</v>
      </c>
      <c r="C63" s="92"/>
      <c r="D63" s="98"/>
      <c r="E63" s="98"/>
      <c r="F63" s="98"/>
      <c r="G63" s="310"/>
      <c r="H63" s="88"/>
      <c r="I63" s="88">
        <f>I48/12</f>
        <v>61025.272499999999</v>
      </c>
      <c r="J63" s="88"/>
      <c r="K63" s="88"/>
      <c r="L63" s="310"/>
      <c r="M63" s="310"/>
      <c r="N63" s="310"/>
      <c r="O63" s="310"/>
      <c r="P63" s="310"/>
      <c r="Q63" s="98"/>
      <c r="R63" s="98"/>
      <c r="S63" s="98"/>
      <c r="T63" s="98"/>
      <c r="U63" s="98"/>
      <c r="V63" s="98"/>
      <c r="W63" s="98"/>
    </row>
    <row r="64" spans="1:23" hidden="1" x14ac:dyDescent="0.2">
      <c r="A64" s="307"/>
      <c r="B64" s="307" t="s">
        <v>85</v>
      </c>
      <c r="C64" s="74"/>
      <c r="D64" s="80"/>
      <c r="E64" s="80"/>
      <c r="F64" s="80"/>
      <c r="G64" s="314">
        <f>G59*0.57</f>
        <v>2401125.5699999998</v>
      </c>
      <c r="H64" s="71"/>
      <c r="I64" s="71"/>
      <c r="J64" s="71"/>
      <c r="K64" s="71"/>
      <c r="L64" s="315">
        <f>L59*0.57</f>
        <v>2205756.9299999997</v>
      </c>
      <c r="M64" s="73"/>
      <c r="N64" s="71"/>
      <c r="O64" s="316"/>
      <c r="P64" s="316"/>
      <c r="Q64" s="80"/>
      <c r="R64" s="80"/>
      <c r="S64" s="80"/>
      <c r="T64" s="80"/>
      <c r="U64" s="80"/>
      <c r="V64" s="80"/>
      <c r="W64" s="80"/>
    </row>
    <row r="65" spans="1:23" hidden="1" x14ac:dyDescent="0.2">
      <c r="A65" s="307"/>
      <c r="B65" s="307" t="s">
        <v>86</v>
      </c>
      <c r="C65" s="74"/>
      <c r="D65" s="80"/>
      <c r="E65" s="80"/>
      <c r="F65" s="80"/>
      <c r="G65" s="314">
        <f>G59*0.23</f>
        <v>968875.2300000001</v>
      </c>
      <c r="H65" s="71"/>
      <c r="I65" s="71"/>
      <c r="J65" s="71"/>
      <c r="K65" s="71"/>
      <c r="L65" s="315">
        <f>L59*0.23</f>
        <v>890042.27</v>
      </c>
      <c r="M65" s="73"/>
      <c r="N65" s="71"/>
      <c r="O65" s="316"/>
      <c r="P65" s="316"/>
      <c r="Q65" s="80"/>
      <c r="R65" s="80"/>
      <c r="S65" s="80"/>
      <c r="T65" s="80"/>
      <c r="U65" s="80"/>
      <c r="V65" s="80"/>
      <c r="W65" s="80"/>
    </row>
    <row r="66" spans="1:23" hidden="1" x14ac:dyDescent="0.2">
      <c r="A66" s="307"/>
      <c r="B66" s="307" t="s">
        <v>87</v>
      </c>
      <c r="C66" s="74"/>
      <c r="D66" s="80"/>
      <c r="E66" s="80"/>
      <c r="F66" s="80"/>
      <c r="G66" s="314">
        <f>G59*0.14</f>
        <v>589750.14</v>
      </c>
      <c r="H66" s="71"/>
      <c r="I66" s="71"/>
      <c r="J66" s="71"/>
      <c r="K66" s="71"/>
      <c r="L66" s="315">
        <f>L59*0.14</f>
        <v>541764.8600000001</v>
      </c>
      <c r="M66" s="73"/>
      <c r="N66" s="71"/>
      <c r="O66" s="316"/>
      <c r="P66" s="316"/>
      <c r="Q66" s="80"/>
      <c r="R66" s="80"/>
      <c r="S66" s="80"/>
      <c r="T66" s="80"/>
      <c r="U66" s="80"/>
      <c r="V66" s="80"/>
      <c r="W66" s="80"/>
    </row>
    <row r="67" spans="1:23" hidden="1" x14ac:dyDescent="0.2">
      <c r="A67" s="307"/>
      <c r="B67" s="307" t="s">
        <v>88</v>
      </c>
      <c r="C67" s="74"/>
      <c r="D67" s="80"/>
      <c r="E67" s="80"/>
      <c r="F67" s="80"/>
      <c r="G67" s="314">
        <f>G59*0.06</f>
        <v>252750.06</v>
      </c>
      <c r="H67" s="71"/>
      <c r="I67" s="71"/>
      <c r="J67" s="71"/>
      <c r="K67" s="71"/>
      <c r="L67" s="315">
        <f>L59*0.06</f>
        <v>232184.94</v>
      </c>
      <c r="M67" s="73"/>
      <c r="N67" s="71"/>
      <c r="O67" s="316"/>
      <c r="P67" s="316"/>
      <c r="Q67" s="80"/>
      <c r="R67" s="80"/>
      <c r="S67" s="80"/>
      <c r="T67" s="80"/>
      <c r="U67" s="80"/>
      <c r="V67" s="80"/>
      <c r="W67" s="80"/>
    </row>
    <row r="68" spans="1:23" hidden="1" x14ac:dyDescent="0.2">
      <c r="A68" s="307"/>
      <c r="B68" s="317" t="s">
        <v>89</v>
      </c>
      <c r="C68" s="92"/>
      <c r="D68" s="80"/>
      <c r="E68" s="80"/>
      <c r="F68" s="80"/>
      <c r="G68" s="318">
        <f>SUM(G64:G67)</f>
        <v>4212501</v>
      </c>
      <c r="H68" s="88"/>
      <c r="I68" s="88"/>
      <c r="J68" s="88"/>
      <c r="K68" s="88"/>
      <c r="L68" s="319">
        <f>SUM(L64:L67)</f>
        <v>3869748.9999999995</v>
      </c>
      <c r="M68" s="73"/>
      <c r="N68" s="71"/>
      <c r="O68" s="316"/>
      <c r="P68" s="316"/>
      <c r="Q68" s="80"/>
      <c r="R68" s="80"/>
      <c r="S68" s="80"/>
      <c r="T68" s="80"/>
      <c r="U68" s="80"/>
      <c r="V68" s="80"/>
      <c r="W68" s="80"/>
    </row>
    <row r="69" spans="1:23" hidden="1" x14ac:dyDescent="0.2">
      <c r="A69" s="307"/>
      <c r="B69" s="307" t="s">
        <v>90</v>
      </c>
      <c r="C69" s="74"/>
      <c r="D69" s="80"/>
      <c r="E69" s="80"/>
      <c r="F69" s="80"/>
      <c r="G69" s="314">
        <f>G68-G64</f>
        <v>1811375.4300000002</v>
      </c>
      <c r="H69" s="71"/>
      <c r="I69" s="71"/>
      <c r="J69" s="71"/>
      <c r="K69" s="71"/>
      <c r="L69" s="315">
        <f>L68-L64</f>
        <v>1663992.0699999998</v>
      </c>
      <c r="M69" s="73"/>
      <c r="N69" s="71"/>
      <c r="O69" s="316"/>
      <c r="P69" s="316"/>
      <c r="Q69" s="80"/>
      <c r="R69" s="80"/>
      <c r="S69" s="80"/>
      <c r="T69" s="80"/>
      <c r="U69" s="80"/>
      <c r="V69" s="80"/>
      <c r="W69" s="80"/>
    </row>
    <row r="70" spans="1:23" hidden="1" x14ac:dyDescent="0.2">
      <c r="A70" s="307"/>
      <c r="B70" s="307"/>
      <c r="C70" s="74"/>
      <c r="D70" s="80"/>
      <c r="E70" s="80"/>
      <c r="F70" s="80"/>
      <c r="G70" s="314"/>
      <c r="H70" s="71"/>
      <c r="I70" s="71"/>
      <c r="J70" s="71"/>
      <c r="K70" s="71"/>
      <c r="L70" s="315"/>
      <c r="M70" s="73"/>
      <c r="N70" s="71"/>
      <c r="O70" s="316"/>
      <c r="P70" s="316"/>
      <c r="Q70" s="320" t="s">
        <v>91</v>
      </c>
      <c r="R70" s="80"/>
      <c r="S70" s="80"/>
      <c r="T70" s="80"/>
      <c r="U70" s="80"/>
      <c r="V70" s="80"/>
      <c r="W70" s="80"/>
    </row>
    <row r="71" spans="1:23" ht="46.5" hidden="1" customHeight="1" x14ac:dyDescent="0.2">
      <c r="A71" s="321"/>
      <c r="B71" s="322" t="s">
        <v>9</v>
      </c>
      <c r="C71" s="323" t="s">
        <v>92</v>
      </c>
      <c r="D71" s="324"/>
      <c r="E71" s="324"/>
      <c r="F71" s="324"/>
      <c r="G71" s="324" t="s">
        <v>93</v>
      </c>
      <c r="H71" s="325" t="s">
        <v>94</v>
      </c>
      <c r="I71" s="325" t="s">
        <v>89</v>
      </c>
      <c r="J71" s="325" t="s">
        <v>95</v>
      </c>
      <c r="K71" s="325" t="s">
        <v>83</v>
      </c>
      <c r="L71" s="326"/>
      <c r="M71" s="327"/>
      <c r="N71" s="325"/>
      <c r="O71" s="325"/>
      <c r="P71" s="325"/>
      <c r="Q71" s="328" t="s">
        <v>96</v>
      </c>
      <c r="R71" s="324"/>
      <c r="S71" s="324"/>
      <c r="T71" s="324"/>
      <c r="U71" s="324"/>
      <c r="V71" s="324"/>
      <c r="W71" s="324"/>
    </row>
    <row r="72" spans="1:23" ht="15" hidden="1" x14ac:dyDescent="0.2">
      <c r="A72" s="329">
        <v>1</v>
      </c>
      <c r="B72" s="322">
        <v>2</v>
      </c>
      <c r="C72" s="330" t="s">
        <v>97</v>
      </c>
      <c r="D72" s="331"/>
      <c r="E72" s="331"/>
      <c r="F72" s="331"/>
      <c r="G72" s="331"/>
      <c r="H72" s="55" t="s">
        <v>98</v>
      </c>
      <c r="I72" s="55" t="s">
        <v>99</v>
      </c>
      <c r="J72" s="55" t="s">
        <v>100</v>
      </c>
      <c r="K72" s="55" t="s">
        <v>101</v>
      </c>
      <c r="L72" s="332"/>
      <c r="M72" s="57"/>
      <c r="N72" s="55"/>
      <c r="O72" s="58"/>
      <c r="P72" s="58"/>
      <c r="Q72" s="328" t="s">
        <v>102</v>
      </c>
      <c r="R72" s="331"/>
      <c r="S72" s="331"/>
      <c r="T72" s="331"/>
      <c r="U72" s="331"/>
      <c r="V72" s="331"/>
      <c r="W72" s="331"/>
    </row>
    <row r="73" spans="1:23" ht="12.2" hidden="1" customHeight="1" x14ac:dyDescent="0.2">
      <c r="A73" s="333">
        <v>3111</v>
      </c>
      <c r="B73" s="334" t="s">
        <v>31</v>
      </c>
      <c r="C73" s="335">
        <v>4787693.96</v>
      </c>
      <c r="D73" s="80"/>
      <c r="E73" s="80"/>
      <c r="F73" s="80"/>
      <c r="G73" s="80">
        <v>3657295.3</v>
      </c>
      <c r="H73" s="71">
        <v>420000</v>
      </c>
      <c r="I73" s="71">
        <f>H73*3</f>
        <v>1260000</v>
      </c>
      <c r="J73" s="71">
        <f>G73+I73</f>
        <v>4917295.3</v>
      </c>
      <c r="K73" s="71" t="e">
        <f>J73-#REF!</f>
        <v>#REF!</v>
      </c>
      <c r="L73" s="315"/>
      <c r="M73" s="71"/>
      <c r="N73" s="71"/>
      <c r="O73" s="74"/>
      <c r="P73" s="74"/>
      <c r="Q73" s="328" t="s">
        <v>103</v>
      </c>
      <c r="R73" s="80"/>
      <c r="S73" s="80"/>
      <c r="T73" s="80"/>
      <c r="U73" s="80"/>
      <c r="V73" s="80"/>
      <c r="W73" s="80"/>
    </row>
    <row r="74" spans="1:23" ht="12.2" hidden="1" customHeight="1" x14ac:dyDescent="0.2">
      <c r="A74" s="336">
        <v>311</v>
      </c>
      <c r="B74" s="337" t="s">
        <v>32</v>
      </c>
      <c r="C74" s="338">
        <f t="shared" ref="C74" si="61">C73</f>
        <v>4787693.96</v>
      </c>
      <c r="D74" s="98"/>
      <c r="E74" s="98"/>
      <c r="F74" s="98"/>
      <c r="G74" s="98">
        <f>G73</f>
        <v>3657295.3</v>
      </c>
      <c r="H74" s="88">
        <f t="shared" ref="H74:K74" si="62">H73</f>
        <v>420000</v>
      </c>
      <c r="I74" s="88">
        <f t="shared" si="62"/>
        <v>1260000</v>
      </c>
      <c r="J74" s="88">
        <f t="shared" si="62"/>
        <v>4917295.3</v>
      </c>
      <c r="K74" s="88" t="e">
        <f t="shared" si="62"/>
        <v>#REF!</v>
      </c>
      <c r="L74" s="319"/>
      <c r="M74" s="91"/>
      <c r="N74" s="91"/>
      <c r="O74" s="92"/>
      <c r="P74" s="92"/>
      <c r="Q74" s="328" t="s">
        <v>104</v>
      </c>
      <c r="R74" s="98"/>
      <c r="S74" s="98"/>
      <c r="T74" s="98"/>
      <c r="U74" s="98"/>
      <c r="V74" s="98"/>
      <c r="W74" s="98"/>
    </row>
    <row r="75" spans="1:23" ht="12.2" hidden="1" customHeight="1" x14ac:dyDescent="0.2">
      <c r="A75" s="333">
        <v>3131</v>
      </c>
      <c r="B75" s="334" t="s">
        <v>33</v>
      </c>
      <c r="C75" s="335">
        <v>373935.75</v>
      </c>
      <c r="D75" s="80"/>
      <c r="E75" s="80"/>
      <c r="F75" s="80"/>
      <c r="G75" s="80">
        <v>285534.3</v>
      </c>
      <c r="H75" s="71">
        <f>H73*7.84/100</f>
        <v>32928</v>
      </c>
      <c r="I75" s="71">
        <f>H75*3</f>
        <v>98784</v>
      </c>
      <c r="J75" s="71">
        <f>G75+I75</f>
        <v>384318.3</v>
      </c>
      <c r="K75" s="71" t="e">
        <f>J75-#REF!</f>
        <v>#REF!</v>
      </c>
      <c r="L75" s="315"/>
      <c r="M75" s="71"/>
      <c r="N75" s="71"/>
      <c r="O75" s="74"/>
      <c r="P75" s="74"/>
      <c r="Q75" s="328" t="s">
        <v>105</v>
      </c>
      <c r="R75" s="80"/>
      <c r="S75" s="80"/>
      <c r="T75" s="80"/>
      <c r="U75" s="80"/>
      <c r="V75" s="80"/>
      <c r="W75" s="80"/>
    </row>
    <row r="76" spans="1:23" ht="12.2" hidden="1" customHeight="1" x14ac:dyDescent="0.2">
      <c r="A76" s="333">
        <v>3132</v>
      </c>
      <c r="B76" s="339" t="s">
        <v>34</v>
      </c>
      <c r="C76" s="335">
        <v>742445</v>
      </c>
      <c r="D76" s="80"/>
      <c r="E76" s="80"/>
      <c r="F76" s="80"/>
      <c r="G76" s="80">
        <v>548594.37</v>
      </c>
      <c r="H76" s="71">
        <f>H73*15.5/100</f>
        <v>65100</v>
      </c>
      <c r="I76" s="71">
        <f>H76*3</f>
        <v>195300</v>
      </c>
      <c r="J76" s="71">
        <f>G76+I76</f>
        <v>743894.37</v>
      </c>
      <c r="K76" s="71" t="e">
        <f>J76-#REF!</f>
        <v>#REF!</v>
      </c>
      <c r="L76" s="315"/>
      <c r="M76" s="71"/>
      <c r="N76" s="71"/>
      <c r="O76" s="74"/>
      <c r="P76" s="74"/>
      <c r="Q76" s="328" t="s">
        <v>106</v>
      </c>
      <c r="R76" s="80"/>
      <c r="S76" s="80"/>
      <c r="T76" s="80"/>
      <c r="U76" s="80"/>
      <c r="V76" s="80"/>
      <c r="W76" s="80"/>
    </row>
    <row r="77" spans="1:23" ht="12.2" hidden="1" customHeight="1" x14ac:dyDescent="0.2">
      <c r="A77" s="333">
        <v>3133</v>
      </c>
      <c r="B77" s="334" t="s">
        <v>35</v>
      </c>
      <c r="C77" s="335">
        <v>81830.100000000006</v>
      </c>
      <c r="D77" s="80"/>
      <c r="E77" s="80"/>
      <c r="F77" s="80"/>
      <c r="G77" s="80">
        <v>62174</v>
      </c>
      <c r="H77" s="71">
        <f>H73*1.7/100</f>
        <v>7140</v>
      </c>
      <c r="I77" s="71">
        <f>H77*3</f>
        <v>21420</v>
      </c>
      <c r="J77" s="71">
        <f>G77+I77</f>
        <v>83594</v>
      </c>
      <c r="K77" s="71" t="e">
        <f>J77-#REF!</f>
        <v>#REF!</v>
      </c>
      <c r="L77" s="315"/>
      <c r="M77" s="71"/>
      <c r="N77" s="71"/>
      <c r="O77" s="74"/>
      <c r="P77" s="74"/>
      <c r="Q77" s="328" t="s">
        <v>107</v>
      </c>
      <c r="R77" s="80"/>
      <c r="S77" s="80"/>
      <c r="T77" s="80"/>
      <c r="U77" s="80"/>
      <c r="V77" s="80"/>
      <c r="W77" s="80"/>
    </row>
    <row r="78" spans="1:23" ht="12.2" hidden="1" customHeight="1" x14ac:dyDescent="0.2">
      <c r="A78" s="336">
        <v>313</v>
      </c>
      <c r="B78" s="337" t="s">
        <v>36</v>
      </c>
      <c r="C78" s="338">
        <f t="shared" ref="C78" si="63">SUM(C75:C77)</f>
        <v>1198210.8500000001</v>
      </c>
      <c r="D78" s="98"/>
      <c r="E78" s="98"/>
      <c r="F78" s="98"/>
      <c r="G78" s="98">
        <f>SUM(G75:G77)</f>
        <v>896302.66999999993</v>
      </c>
      <c r="H78" s="88">
        <f t="shared" ref="H78:K78" si="64">SUM(H75:H77)</f>
        <v>105168</v>
      </c>
      <c r="I78" s="88">
        <f t="shared" si="64"/>
        <v>315504</v>
      </c>
      <c r="J78" s="88">
        <f t="shared" si="64"/>
        <v>1211806.67</v>
      </c>
      <c r="K78" s="88" t="e">
        <f t="shared" si="64"/>
        <v>#REF!</v>
      </c>
      <c r="L78" s="319"/>
      <c r="M78" s="90"/>
      <c r="N78" s="91"/>
      <c r="O78" s="92"/>
      <c r="P78" s="92"/>
      <c r="Q78" s="328" t="s">
        <v>108</v>
      </c>
      <c r="R78" s="98"/>
      <c r="S78" s="98"/>
      <c r="T78" s="98"/>
      <c r="U78" s="98"/>
      <c r="V78" s="98"/>
      <c r="W78" s="98"/>
    </row>
    <row r="79" spans="1:23" ht="12.2" hidden="1" customHeight="1" x14ac:dyDescent="0.2">
      <c r="A79" s="333">
        <v>3121</v>
      </c>
      <c r="B79" s="339" t="s">
        <v>37</v>
      </c>
      <c r="C79" s="335">
        <v>296393.5</v>
      </c>
      <c r="D79" s="80"/>
      <c r="E79" s="80"/>
      <c r="F79" s="80"/>
      <c r="G79" s="80">
        <v>204493.61</v>
      </c>
      <c r="H79" s="71">
        <v>0</v>
      </c>
      <c r="I79" s="71">
        <v>175506</v>
      </c>
      <c r="J79" s="71">
        <f>G79+I79</f>
        <v>379999.61</v>
      </c>
      <c r="K79" s="71" t="e">
        <f>J79-#REF!</f>
        <v>#REF!</v>
      </c>
      <c r="L79" s="315"/>
      <c r="M79" s="73"/>
      <c r="N79" s="340"/>
      <c r="O79" s="341"/>
      <c r="P79" s="341"/>
      <c r="Q79" s="80"/>
      <c r="R79" s="80"/>
      <c r="S79" s="80"/>
      <c r="T79" s="80"/>
      <c r="U79" s="80"/>
      <c r="V79" s="80"/>
      <c r="W79" s="80"/>
    </row>
    <row r="80" spans="1:23" ht="12.2" hidden="1" customHeight="1" x14ac:dyDescent="0.2">
      <c r="A80" s="336">
        <v>312</v>
      </c>
      <c r="B80" s="337" t="s">
        <v>38</v>
      </c>
      <c r="C80" s="338">
        <f t="shared" ref="C80" si="65">C79</f>
        <v>296393.5</v>
      </c>
      <c r="D80" s="98"/>
      <c r="E80" s="98"/>
      <c r="F80" s="98"/>
      <c r="G80" s="98">
        <f t="shared" ref="G80:K80" si="66">G79</f>
        <v>204493.61</v>
      </c>
      <c r="H80" s="88">
        <f t="shared" si="66"/>
        <v>0</v>
      </c>
      <c r="I80" s="88">
        <f t="shared" si="66"/>
        <v>175506</v>
      </c>
      <c r="J80" s="88">
        <f t="shared" si="66"/>
        <v>379999.61</v>
      </c>
      <c r="K80" s="88" t="e">
        <f t="shared" si="66"/>
        <v>#REF!</v>
      </c>
      <c r="L80" s="319"/>
      <c r="M80" s="90"/>
      <c r="N80" s="91"/>
      <c r="O80" s="92"/>
      <c r="P80" s="92"/>
      <c r="Q80" s="98"/>
      <c r="R80" s="98"/>
      <c r="S80" s="98"/>
      <c r="T80" s="98"/>
      <c r="U80" s="98"/>
      <c r="V80" s="98"/>
      <c r="W80" s="98"/>
    </row>
    <row r="81" spans="1:23" hidden="1" x14ac:dyDescent="0.2">
      <c r="A81" s="342">
        <v>31</v>
      </c>
      <c r="B81" s="342" t="s">
        <v>39</v>
      </c>
      <c r="C81" s="338">
        <f>C74+C78+C80</f>
        <v>6282298.3100000005</v>
      </c>
      <c r="D81" s="98"/>
      <c r="E81" s="98"/>
      <c r="F81" s="98"/>
      <c r="G81" s="98">
        <f>G73+G75+G76+G77+G79</f>
        <v>4758091.58</v>
      </c>
      <c r="H81" s="88">
        <f>H73+H75+H76+H77+H79</f>
        <v>525168</v>
      </c>
      <c r="I81" s="88">
        <f>I73+I75+I76+I77+I79</f>
        <v>1751010</v>
      </c>
      <c r="J81" s="88">
        <f>J73+J75+J76+J77+J79</f>
        <v>6509101.5800000001</v>
      </c>
      <c r="K81" s="88" t="e">
        <f>K73+K75+K76+K77+K79</f>
        <v>#REF!</v>
      </c>
      <c r="L81" s="319"/>
      <c r="M81" s="90"/>
      <c r="N81" s="91"/>
      <c r="O81" s="92"/>
      <c r="P81" s="92"/>
      <c r="Q81" s="98"/>
      <c r="R81" s="98"/>
      <c r="S81" s="98"/>
      <c r="T81" s="98"/>
      <c r="U81" s="98"/>
      <c r="V81" s="98"/>
      <c r="W81" s="98"/>
    </row>
    <row r="82" spans="1:23" ht="12.2" hidden="1" customHeight="1" x14ac:dyDescent="0.2">
      <c r="A82" s="333">
        <v>3212</v>
      </c>
      <c r="B82" s="339" t="s">
        <v>41</v>
      </c>
      <c r="C82" s="335">
        <v>133970.44</v>
      </c>
      <c r="D82" s="80"/>
      <c r="E82" s="80"/>
      <c r="F82" s="80"/>
      <c r="G82" s="80">
        <v>101680.66</v>
      </c>
      <c r="H82" s="71">
        <v>12400</v>
      </c>
      <c r="I82" s="71">
        <f>H82*3</f>
        <v>37200</v>
      </c>
      <c r="J82" s="71">
        <f>G82+I82</f>
        <v>138880.66</v>
      </c>
      <c r="K82" s="71" t="e">
        <f>J82-#REF!</f>
        <v>#REF!</v>
      </c>
      <c r="L82" s="315"/>
      <c r="M82" s="73"/>
      <c r="N82" s="71"/>
      <c r="O82" s="71"/>
      <c r="P82" s="71"/>
      <c r="Q82" s="80"/>
      <c r="R82" s="80"/>
      <c r="S82" s="80"/>
      <c r="T82" s="80"/>
      <c r="U82" s="80"/>
      <c r="V82" s="80"/>
      <c r="W82" s="80"/>
    </row>
    <row r="83" spans="1:23" hidden="1" x14ac:dyDescent="0.2">
      <c r="A83" s="307"/>
      <c r="B83" s="307"/>
      <c r="C83" s="74"/>
      <c r="D83" s="80"/>
      <c r="E83" s="80"/>
      <c r="F83" s="80"/>
      <c r="G83" s="314"/>
      <c r="H83" s="71"/>
      <c r="I83" s="71"/>
      <c r="J83" s="71"/>
      <c r="K83" s="71" t="e">
        <f>K81+K82</f>
        <v>#REF!</v>
      </c>
      <c r="L83" s="315"/>
      <c r="M83" s="73"/>
      <c r="N83" s="71"/>
      <c r="O83" s="316"/>
      <c r="P83" s="316"/>
      <c r="Q83" s="80"/>
      <c r="R83" s="80"/>
      <c r="S83" s="80"/>
      <c r="T83" s="80"/>
      <c r="U83" s="80"/>
      <c r="V83" s="80"/>
      <c r="W83" s="80"/>
    </row>
    <row r="84" spans="1:23" ht="22.5" hidden="1" x14ac:dyDescent="0.2">
      <c r="A84" s="321"/>
      <c r="B84" s="322" t="s">
        <v>9</v>
      </c>
      <c r="C84" s="323" t="s">
        <v>92</v>
      </c>
      <c r="D84" s="80"/>
      <c r="E84" s="80"/>
      <c r="F84" s="80"/>
      <c r="G84" s="324" t="s">
        <v>93</v>
      </c>
      <c r="H84" s="325" t="s">
        <v>94</v>
      </c>
      <c r="I84" s="325" t="s">
        <v>89</v>
      </c>
      <c r="J84" s="325" t="s">
        <v>95</v>
      </c>
      <c r="K84" s="325" t="s">
        <v>83</v>
      </c>
      <c r="L84" s="315"/>
      <c r="M84" s="73"/>
      <c r="N84" s="71"/>
      <c r="O84" s="316"/>
      <c r="P84" s="316"/>
      <c r="Q84" s="80"/>
      <c r="R84" s="80"/>
      <c r="S84" s="80"/>
      <c r="T84" s="80"/>
      <c r="U84" s="80"/>
      <c r="V84" s="80"/>
      <c r="W84" s="80"/>
    </row>
    <row r="85" spans="1:23" hidden="1" x14ac:dyDescent="0.2">
      <c r="A85" s="329">
        <v>1</v>
      </c>
      <c r="B85" s="322">
        <v>2</v>
      </c>
      <c r="C85" s="330" t="s">
        <v>97</v>
      </c>
      <c r="D85" s="80"/>
      <c r="E85" s="80"/>
      <c r="F85" s="80"/>
      <c r="G85" s="331"/>
      <c r="H85" s="55" t="s">
        <v>98</v>
      </c>
      <c r="I85" s="55" t="s">
        <v>99</v>
      </c>
      <c r="J85" s="55" t="s">
        <v>100</v>
      </c>
      <c r="K85" s="55" t="s">
        <v>101</v>
      </c>
      <c r="L85" s="315"/>
      <c r="M85" s="73"/>
      <c r="N85" s="71"/>
      <c r="O85" s="316"/>
      <c r="P85" s="316"/>
      <c r="Q85" s="80"/>
      <c r="R85" s="80"/>
      <c r="S85" s="80"/>
      <c r="T85" s="80"/>
      <c r="U85" s="80"/>
      <c r="V85" s="80"/>
      <c r="W85" s="80"/>
    </row>
    <row r="86" spans="1:23" hidden="1" x14ac:dyDescent="0.2">
      <c r="A86" s="333">
        <v>3111</v>
      </c>
      <c r="B86" s="334" t="s">
        <v>31</v>
      </c>
      <c r="C86" s="335">
        <v>4787693.96</v>
      </c>
      <c r="D86" s="80"/>
      <c r="E86" s="80"/>
      <c r="F86" s="80"/>
      <c r="G86" s="80">
        <v>3657295.3</v>
      </c>
      <c r="H86" s="71">
        <v>429300</v>
      </c>
      <c r="I86" s="71">
        <f>H86*3</f>
        <v>1287900</v>
      </c>
      <c r="J86" s="71">
        <f>G86+I86</f>
        <v>4945195.3</v>
      </c>
      <c r="K86" s="71" t="e">
        <f>J86-#REF!</f>
        <v>#REF!</v>
      </c>
      <c r="L86" s="315"/>
      <c r="M86" s="73"/>
      <c r="N86" s="71"/>
      <c r="O86" s="316"/>
      <c r="P86" s="316"/>
      <c r="Q86" s="80"/>
      <c r="R86" s="80"/>
      <c r="S86" s="80"/>
      <c r="T86" s="80"/>
      <c r="U86" s="80"/>
      <c r="V86" s="80"/>
      <c r="W86" s="80"/>
    </row>
    <row r="87" spans="1:23" hidden="1" x14ac:dyDescent="0.2">
      <c r="A87" s="336">
        <v>311</v>
      </c>
      <c r="B87" s="337" t="s">
        <v>32</v>
      </c>
      <c r="C87" s="338">
        <f t="shared" ref="C87" si="67">C86</f>
        <v>4787693.96</v>
      </c>
      <c r="D87" s="80"/>
      <c r="E87" s="80"/>
      <c r="F87" s="80"/>
      <c r="G87" s="98">
        <f t="shared" ref="G87:K87" si="68">G86</f>
        <v>3657295.3</v>
      </c>
      <c r="H87" s="88">
        <f t="shared" si="68"/>
        <v>429300</v>
      </c>
      <c r="I87" s="88">
        <f t="shared" si="68"/>
        <v>1287900</v>
      </c>
      <c r="J87" s="88">
        <f t="shared" si="68"/>
        <v>4945195.3</v>
      </c>
      <c r="K87" s="88" t="e">
        <f t="shared" si="68"/>
        <v>#REF!</v>
      </c>
      <c r="L87" s="315"/>
      <c r="M87" s="73"/>
      <c r="N87" s="71"/>
      <c r="O87" s="316"/>
      <c r="P87" s="316"/>
      <c r="Q87" s="80"/>
      <c r="R87" s="80"/>
      <c r="S87" s="80"/>
      <c r="T87" s="80"/>
      <c r="U87" s="80"/>
      <c r="V87" s="80"/>
      <c r="W87" s="80"/>
    </row>
    <row r="88" spans="1:23" hidden="1" x14ac:dyDescent="0.2">
      <c r="A88" s="333">
        <v>3131</v>
      </c>
      <c r="B88" s="334" t="s">
        <v>33</v>
      </c>
      <c r="C88" s="335">
        <v>373935.75</v>
      </c>
      <c r="D88" s="80"/>
      <c r="E88" s="80"/>
      <c r="F88" s="80"/>
      <c r="G88" s="80">
        <v>285534.3</v>
      </c>
      <c r="H88" s="71">
        <f>H86*7.84/100</f>
        <v>33657.120000000003</v>
      </c>
      <c r="I88" s="71">
        <f>H88*3</f>
        <v>100971.36000000002</v>
      </c>
      <c r="J88" s="71">
        <f>G88+I88</f>
        <v>386505.66000000003</v>
      </c>
      <c r="K88" s="71" t="e">
        <f>J88-#REF!</f>
        <v>#REF!</v>
      </c>
      <c r="L88" s="315"/>
      <c r="M88" s="73"/>
      <c r="N88" s="71"/>
      <c r="O88" s="316"/>
      <c r="P88" s="316"/>
      <c r="Q88" s="80"/>
      <c r="R88" s="80"/>
      <c r="S88" s="80"/>
      <c r="T88" s="80"/>
      <c r="U88" s="80"/>
      <c r="V88" s="80"/>
      <c r="W88" s="80"/>
    </row>
    <row r="89" spans="1:23" hidden="1" x14ac:dyDescent="0.2">
      <c r="A89" s="333">
        <v>3132</v>
      </c>
      <c r="B89" s="339" t="s">
        <v>34</v>
      </c>
      <c r="C89" s="335">
        <v>742445</v>
      </c>
      <c r="D89" s="80"/>
      <c r="E89" s="80"/>
      <c r="F89" s="80"/>
      <c r="G89" s="80">
        <v>548594.37</v>
      </c>
      <c r="H89" s="71">
        <f>H86*15.5/100</f>
        <v>66541.5</v>
      </c>
      <c r="I89" s="71">
        <f>H89*3</f>
        <v>199624.5</v>
      </c>
      <c r="J89" s="71">
        <f>G89+I89</f>
        <v>748218.87</v>
      </c>
      <c r="K89" s="71" t="e">
        <f>J89-#REF!</f>
        <v>#REF!</v>
      </c>
      <c r="L89" s="315"/>
      <c r="M89" s="73"/>
      <c r="N89" s="71"/>
      <c r="O89" s="316"/>
      <c r="P89" s="316"/>
      <c r="Q89" s="80"/>
      <c r="R89" s="80"/>
      <c r="S89" s="80"/>
      <c r="T89" s="80"/>
      <c r="U89" s="80"/>
      <c r="V89" s="80"/>
      <c r="W89" s="80"/>
    </row>
    <row r="90" spans="1:23" hidden="1" x14ac:dyDescent="0.2">
      <c r="A90" s="333">
        <v>3133</v>
      </c>
      <c r="B90" s="334" t="s">
        <v>35</v>
      </c>
      <c r="C90" s="335">
        <v>81830.100000000006</v>
      </c>
      <c r="D90" s="80"/>
      <c r="E90" s="80"/>
      <c r="F90" s="80"/>
      <c r="G90" s="80">
        <v>62174</v>
      </c>
      <c r="H90" s="71">
        <f>H86*1.7/100</f>
        <v>7298.1</v>
      </c>
      <c r="I90" s="71">
        <f>H90*3</f>
        <v>21894.300000000003</v>
      </c>
      <c r="J90" s="71">
        <f>G90+I90</f>
        <v>84068.3</v>
      </c>
      <c r="K90" s="71" t="e">
        <f>J90-#REF!</f>
        <v>#REF!</v>
      </c>
      <c r="L90" s="315"/>
      <c r="M90" s="73"/>
      <c r="N90" s="71"/>
      <c r="O90" s="316"/>
      <c r="P90" s="316"/>
      <c r="Q90" s="80"/>
      <c r="R90" s="80"/>
      <c r="S90" s="80"/>
      <c r="T90" s="80"/>
      <c r="U90" s="80"/>
      <c r="V90" s="80"/>
      <c r="W90" s="80"/>
    </row>
    <row r="91" spans="1:23" hidden="1" x14ac:dyDescent="0.2">
      <c r="A91" s="336">
        <v>313</v>
      </c>
      <c r="B91" s="337" t="s">
        <v>36</v>
      </c>
      <c r="C91" s="338">
        <f t="shared" ref="C91" si="69">SUM(C88:C90)</f>
        <v>1198210.8500000001</v>
      </c>
      <c r="D91" s="80"/>
      <c r="E91" s="80"/>
      <c r="F91" s="80"/>
      <c r="G91" s="98">
        <f t="shared" ref="G91:K91" si="70">SUM(G88:G90)</f>
        <v>896302.66999999993</v>
      </c>
      <c r="H91" s="88">
        <f t="shared" si="70"/>
        <v>107496.72</v>
      </c>
      <c r="I91" s="88">
        <f t="shared" si="70"/>
        <v>322490.15999999997</v>
      </c>
      <c r="J91" s="88">
        <f t="shared" si="70"/>
        <v>1218792.83</v>
      </c>
      <c r="K91" s="88" t="e">
        <f t="shared" si="70"/>
        <v>#REF!</v>
      </c>
      <c r="L91" s="315"/>
      <c r="M91" s="73"/>
      <c r="N91" s="71"/>
      <c r="O91" s="316"/>
      <c r="P91" s="316"/>
      <c r="Q91" s="80"/>
      <c r="R91" s="80"/>
      <c r="S91" s="80"/>
      <c r="T91" s="80"/>
      <c r="U91" s="80"/>
      <c r="V91" s="80"/>
      <c r="W91" s="80"/>
    </row>
    <row r="92" spans="1:23" hidden="1" x14ac:dyDescent="0.2">
      <c r="A92" s="333">
        <v>3121</v>
      </c>
      <c r="B92" s="339" t="s">
        <v>37</v>
      </c>
      <c r="C92" s="335">
        <v>296393.5</v>
      </c>
      <c r="D92" s="80"/>
      <c r="E92" s="80"/>
      <c r="F92" s="80"/>
      <c r="G92" s="80">
        <v>204493.61</v>
      </c>
      <c r="H92" s="71">
        <v>0</v>
      </c>
      <c r="I92" s="71">
        <v>175506</v>
      </c>
      <c r="J92" s="71">
        <f>G92+I92</f>
        <v>379999.61</v>
      </c>
      <c r="K92" s="71" t="e">
        <f>J92-#REF!</f>
        <v>#REF!</v>
      </c>
      <c r="L92" s="315"/>
      <c r="M92" s="73"/>
      <c r="N92" s="71"/>
      <c r="O92" s="316"/>
      <c r="P92" s="316"/>
      <c r="Q92" s="80"/>
      <c r="R92" s="80"/>
      <c r="S92" s="80"/>
      <c r="T92" s="80"/>
      <c r="U92" s="80"/>
      <c r="V92" s="80"/>
      <c r="W92" s="80"/>
    </row>
    <row r="93" spans="1:23" hidden="1" x14ac:dyDescent="0.2">
      <c r="A93" s="336">
        <v>312</v>
      </c>
      <c r="B93" s="337" t="s">
        <v>38</v>
      </c>
      <c r="C93" s="338">
        <f t="shared" ref="C93" si="71">C92</f>
        <v>296393.5</v>
      </c>
      <c r="D93" s="80"/>
      <c r="E93" s="80"/>
      <c r="F93" s="80"/>
      <c r="G93" s="98">
        <f t="shared" ref="G93:K93" si="72">G92</f>
        <v>204493.61</v>
      </c>
      <c r="H93" s="88">
        <f t="shared" si="72"/>
        <v>0</v>
      </c>
      <c r="I93" s="88">
        <f t="shared" si="72"/>
        <v>175506</v>
      </c>
      <c r="J93" s="88">
        <f t="shared" si="72"/>
        <v>379999.61</v>
      </c>
      <c r="K93" s="88" t="e">
        <f t="shared" si="72"/>
        <v>#REF!</v>
      </c>
      <c r="L93" s="315"/>
      <c r="M93" s="73"/>
      <c r="N93" s="71"/>
      <c r="O93" s="316"/>
      <c r="P93" s="316"/>
      <c r="Q93" s="80"/>
      <c r="R93" s="80"/>
      <c r="S93" s="80"/>
      <c r="T93" s="80"/>
      <c r="U93" s="80"/>
      <c r="V93" s="80"/>
      <c r="W93" s="80"/>
    </row>
    <row r="94" spans="1:23" hidden="1" x14ac:dyDescent="0.2">
      <c r="A94" s="343">
        <v>31</v>
      </c>
      <c r="B94" s="343" t="s">
        <v>39</v>
      </c>
      <c r="C94" s="344">
        <f>C87+C91+C93</f>
        <v>6282298.3100000005</v>
      </c>
      <c r="G94" s="301">
        <f>G86+G88+G89+G90+G92</f>
        <v>4758091.58</v>
      </c>
      <c r="H94" s="10">
        <f>H86+H88+H89+H90+H92</f>
        <v>536796.72</v>
      </c>
      <c r="I94" s="10">
        <f>I86+I88+I89+I90+I92</f>
        <v>1785896.1600000001</v>
      </c>
      <c r="J94" s="10">
        <f>J86+J88+J89+J90+J92</f>
        <v>6543987.7400000002</v>
      </c>
      <c r="K94" s="10" t="e">
        <f>K86+K88+K89+K90+K92</f>
        <v>#REF!</v>
      </c>
    </row>
    <row r="95" spans="1:23" hidden="1" x14ac:dyDescent="0.2">
      <c r="A95" s="345">
        <v>3212</v>
      </c>
      <c r="B95" s="346" t="s">
        <v>41</v>
      </c>
      <c r="C95" s="347">
        <v>133970.44</v>
      </c>
      <c r="G95" s="3">
        <v>101680.66</v>
      </c>
      <c r="H95" s="5">
        <v>12400</v>
      </c>
      <c r="I95" s="5">
        <f>H95*3</f>
        <v>37200</v>
      </c>
      <c r="J95" s="5">
        <f>G95+I95</f>
        <v>138880.66</v>
      </c>
      <c r="K95" s="5" t="e">
        <f>J95-#REF!</f>
        <v>#REF!</v>
      </c>
    </row>
    <row r="96" spans="1:23" hidden="1" x14ac:dyDescent="0.2"/>
    <row r="97" spans="2:16" hidden="1" x14ac:dyDescent="0.2"/>
    <row r="98" spans="2:16" hidden="1" x14ac:dyDescent="0.2">
      <c r="B98" s="1">
        <v>1</v>
      </c>
    </row>
    <row r="99" spans="2:16" hidden="1" x14ac:dyDescent="0.2">
      <c r="B99" s="1">
        <v>2</v>
      </c>
    </row>
    <row r="100" spans="2:16" hidden="1" x14ac:dyDescent="0.2">
      <c r="B100" s="1">
        <v>3</v>
      </c>
    </row>
    <row r="101" spans="2:16" hidden="1" x14ac:dyDescent="0.2">
      <c r="B101" s="1">
        <v>4</v>
      </c>
    </row>
    <row r="102" spans="2:16" hidden="1" x14ac:dyDescent="0.2">
      <c r="B102" s="1">
        <v>5</v>
      </c>
    </row>
    <row r="103" spans="2:16" hidden="1" x14ac:dyDescent="0.2">
      <c r="B103" s="1">
        <v>6</v>
      </c>
    </row>
    <row r="104" spans="2:16" hidden="1" x14ac:dyDescent="0.2">
      <c r="B104" s="1">
        <v>7</v>
      </c>
    </row>
    <row r="105" spans="2:16" hidden="1" x14ac:dyDescent="0.2">
      <c r="B105" s="1">
        <v>8</v>
      </c>
    </row>
    <row r="106" spans="2:16" hidden="1" x14ac:dyDescent="0.2">
      <c r="B106" s="1">
        <v>9</v>
      </c>
    </row>
    <row r="107" spans="2:16" hidden="1" x14ac:dyDescent="0.2">
      <c r="B107" s="1">
        <f>C107/9</f>
        <v>0.66666666666666663</v>
      </c>
      <c r="C107" s="2">
        <f>B106-B100</f>
        <v>6</v>
      </c>
    </row>
    <row r="108" spans="2:16" hidden="1" x14ac:dyDescent="0.2">
      <c r="B108" s="1">
        <v>10</v>
      </c>
    </row>
    <row r="109" spans="2:16" hidden="1" x14ac:dyDescent="0.2">
      <c r="B109" s="1">
        <v>11</v>
      </c>
    </row>
    <row r="110" spans="2:16" hidden="1" x14ac:dyDescent="0.2">
      <c r="B110" s="1">
        <v>12</v>
      </c>
    </row>
    <row r="112" spans="2:16" x14ac:dyDescent="0.2">
      <c r="G112" s="5"/>
      <c r="L112" s="5"/>
      <c r="M112" s="5"/>
      <c r="O112" s="5"/>
      <c r="P112" s="5"/>
    </row>
    <row r="113" spans="1:23" x14ac:dyDescent="0.2">
      <c r="G113" s="5"/>
      <c r="L113" s="5"/>
      <c r="M113" s="5"/>
      <c r="O113" s="5"/>
      <c r="P113" s="5"/>
    </row>
    <row r="114" spans="1:23" s="7" customFormat="1" x14ac:dyDescent="0.2">
      <c r="A114" s="1"/>
      <c r="B114" s="348"/>
      <c r="C114" s="349"/>
      <c r="D114" s="350"/>
      <c r="E114" s="350"/>
      <c r="F114" s="350"/>
      <c r="G114" s="351"/>
      <c r="H114" s="3"/>
      <c r="I114" s="3"/>
      <c r="J114" s="3"/>
      <c r="K114" s="3"/>
      <c r="L114" s="352"/>
      <c r="N114" s="5"/>
      <c r="O114" s="8"/>
      <c r="P114" s="8"/>
      <c r="Q114" s="3"/>
      <c r="R114" s="3"/>
      <c r="S114" s="3"/>
      <c r="T114" s="3"/>
      <c r="U114" s="3"/>
      <c r="V114" s="3"/>
      <c r="W114" s="3"/>
    </row>
    <row r="115" spans="1:23" s="7" customFormat="1" x14ac:dyDescent="0.2">
      <c r="A115" s="1"/>
      <c r="B115" s="1"/>
      <c r="C115" s="2"/>
      <c r="D115" s="3"/>
      <c r="E115" s="3"/>
      <c r="F115" s="3"/>
      <c r="G115" s="351"/>
      <c r="H115" s="3"/>
      <c r="I115" s="3"/>
      <c r="J115" s="3"/>
      <c r="K115" s="3"/>
      <c r="L115" s="352"/>
      <c r="N115" s="5"/>
      <c r="O115" s="8"/>
      <c r="P115" s="8"/>
      <c r="Q115" s="3"/>
      <c r="R115" s="3"/>
      <c r="S115" s="3"/>
      <c r="T115" s="3"/>
      <c r="U115" s="3"/>
      <c r="V115" s="3"/>
      <c r="W115" s="3"/>
    </row>
    <row r="116" spans="1:23" s="7" customFormat="1" x14ac:dyDescent="0.2">
      <c r="A116" s="1"/>
      <c r="B116" s="1"/>
      <c r="C116" s="2"/>
      <c r="D116" s="3"/>
      <c r="E116" s="3"/>
      <c r="F116" s="3"/>
      <c r="G116" s="351"/>
      <c r="H116" s="3"/>
      <c r="I116" s="3"/>
      <c r="J116" s="3"/>
      <c r="K116" s="3"/>
      <c r="L116" s="352"/>
      <c r="N116" s="5"/>
      <c r="O116" s="8"/>
      <c r="P116" s="8"/>
      <c r="Q116" s="3"/>
      <c r="R116" s="3"/>
      <c r="S116" s="3"/>
      <c r="T116" s="3"/>
      <c r="U116" s="3"/>
      <c r="V116" s="3"/>
      <c r="W116" s="3"/>
    </row>
    <row r="117" spans="1:23" s="7" customFormat="1" x14ac:dyDescent="0.2">
      <c r="A117" s="1"/>
      <c r="B117" s="1"/>
      <c r="C117" s="2"/>
      <c r="D117" s="3"/>
      <c r="E117" s="3"/>
      <c r="F117" s="3"/>
      <c r="G117" s="351"/>
      <c r="H117" s="3"/>
      <c r="I117" s="3"/>
      <c r="J117" s="3"/>
      <c r="K117" s="3"/>
      <c r="L117" s="352"/>
      <c r="N117" s="5"/>
      <c r="O117" s="8"/>
      <c r="P117" s="8"/>
      <c r="Q117" s="3"/>
      <c r="R117" s="3"/>
      <c r="S117" s="3"/>
      <c r="T117" s="3"/>
      <c r="U117" s="3"/>
      <c r="V117" s="3"/>
      <c r="W117" s="3"/>
    </row>
    <row r="118" spans="1:23" s="7" customFormat="1" x14ac:dyDescent="0.2">
      <c r="A118" s="1"/>
      <c r="B118" s="1"/>
      <c r="C118" s="2"/>
      <c r="D118" s="3"/>
      <c r="E118" s="3"/>
      <c r="F118" s="3"/>
      <c r="G118" s="351"/>
      <c r="H118" s="3"/>
      <c r="I118" s="3"/>
      <c r="J118" s="3"/>
      <c r="K118" s="3"/>
      <c r="L118" s="352"/>
      <c r="N118" s="5"/>
      <c r="O118" s="8"/>
      <c r="P118" s="8"/>
      <c r="Q118" s="3"/>
      <c r="R118" s="3"/>
      <c r="S118" s="3"/>
      <c r="T118" s="3"/>
      <c r="U118" s="3"/>
      <c r="V118" s="3"/>
      <c r="W118" s="3"/>
    </row>
    <row r="119" spans="1:23" s="7" customFormat="1" x14ac:dyDescent="0.2">
      <c r="A119" s="1"/>
      <c r="B119" s="1"/>
      <c r="C119" s="2"/>
      <c r="D119" s="3"/>
      <c r="E119" s="3"/>
      <c r="F119" s="3"/>
      <c r="G119" s="351"/>
      <c r="H119" s="3"/>
      <c r="I119" s="3"/>
      <c r="J119" s="3"/>
      <c r="K119" s="3"/>
      <c r="L119" s="352"/>
      <c r="N119" s="5"/>
      <c r="O119" s="8"/>
      <c r="P119" s="8"/>
      <c r="Q119" s="3"/>
      <c r="R119" s="3"/>
      <c r="S119" s="3"/>
      <c r="T119" s="3"/>
      <c r="U119" s="3"/>
      <c r="V119" s="3"/>
      <c r="W119" s="3"/>
    </row>
  </sheetData>
  <mergeCells count="5">
    <mergeCell ref="L4:M4"/>
    <mergeCell ref="A5:G5"/>
    <mergeCell ref="H6:W6"/>
    <mergeCell ref="G8:Q8"/>
    <mergeCell ref="R8:W8"/>
  </mergeCells>
  <pageMargins left="0" right="0" top="0" bottom="0" header="0" footer="0"/>
  <pageSetup paperSize="9" scale="76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31.12.2020.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2021-03-09T09:15:48Z</dcterms:created>
  <dcterms:modified xsi:type="dcterms:W3CDTF">2021-03-09T09:16:40Z</dcterms:modified>
</cp:coreProperties>
</file>