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ova mapa\05. PRORAČUN\23. PRORAČUN 2023\USVOJENO 22. SJEDNICA VATROGASNOG VIJEĆA\"/>
    </mc:Choice>
  </mc:AlternateContent>
  <xr:revisionPtr revIDLastSave="0" documentId="13_ncr:1_{CC38DF8A-05FE-4016-92E8-D898B67E4C63}" xr6:coauthVersionLast="47" xr6:coauthVersionMax="47" xr10:uidLastSave="{00000000-0000-0000-0000-000000000000}"/>
  <bookViews>
    <workbookView xWindow="-120" yWindow="-120" windowWidth="29040" windowHeight="15840" xr2:uid="{F30C35BE-5549-43C9-ACFE-2FAB64ABB834}"/>
  </bookViews>
  <sheets>
    <sheet name="2023" sheetId="1" r:id="rId1"/>
    <sheet name="IF 2023-2022 KN" sheetId="2" r:id="rId2"/>
    <sheet name="IF 2023-2022 EUR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56" i="1" l="1"/>
  <c r="X37" i="1"/>
  <c r="X28" i="1"/>
  <c r="W28" i="1"/>
  <c r="U10" i="1"/>
  <c r="E17" i="3" l="1"/>
  <c r="E18" i="3"/>
  <c r="G101" i="1"/>
  <c r="G87" i="1"/>
  <c r="G83" i="1"/>
  <c r="G106" i="1" s="1"/>
  <c r="F45" i="3"/>
  <c r="D43" i="3"/>
  <c r="D42" i="3"/>
  <c r="D41" i="3"/>
  <c r="D40" i="3"/>
  <c r="D44" i="3" s="1"/>
  <c r="E38" i="3"/>
  <c r="D38" i="3"/>
  <c r="E37" i="3"/>
  <c r="D37" i="3"/>
  <c r="E36" i="3"/>
  <c r="D36" i="3"/>
  <c r="E35" i="3"/>
  <c r="D35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D25" i="3"/>
  <c r="D33" i="3" s="1"/>
  <c r="D39" i="3" s="1"/>
  <c r="D22" i="3"/>
  <c r="D21" i="3"/>
  <c r="D20" i="3"/>
  <c r="D54" i="3" s="1"/>
  <c r="D19" i="3"/>
  <c r="F18" i="3"/>
  <c r="F17" i="3"/>
  <c r="D16" i="3"/>
  <c r="E16" i="3" s="1"/>
  <c r="F15" i="3"/>
  <c r="D14" i="3"/>
  <c r="D23" i="3" s="1"/>
  <c r="E12" i="3"/>
  <c r="D12" i="3"/>
  <c r="D49" i="3" s="1"/>
  <c r="D56" i="3" s="1"/>
  <c r="E11" i="3"/>
  <c r="D11" i="3"/>
  <c r="D48" i="3" s="1"/>
  <c r="D55" i="3" s="1"/>
  <c r="E10" i="3"/>
  <c r="D10" i="3"/>
  <c r="D47" i="3" s="1"/>
  <c r="E9" i="3"/>
  <c r="D9" i="3"/>
  <c r="D13" i="3" s="1"/>
  <c r="E7" i="3"/>
  <c r="D7" i="3"/>
  <c r="G45" i="2"/>
  <c r="F38" i="2"/>
  <c r="G38" i="2" s="1"/>
  <c r="F37" i="2"/>
  <c r="G37" i="2" s="1"/>
  <c r="G36" i="2"/>
  <c r="G35" i="2"/>
  <c r="E33" i="2"/>
  <c r="E39" i="2" s="1"/>
  <c r="D33" i="2"/>
  <c r="D39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E25" i="3" s="1"/>
  <c r="E23" i="2"/>
  <c r="E22" i="2"/>
  <c r="D22" i="2"/>
  <c r="E21" i="2"/>
  <c r="D21" i="2"/>
  <c r="E20" i="2"/>
  <c r="D20" i="2"/>
  <c r="E19" i="2"/>
  <c r="D19" i="2"/>
  <c r="G18" i="2"/>
  <c r="G17" i="2"/>
  <c r="G16" i="2"/>
  <c r="G15" i="2"/>
  <c r="E13" i="2"/>
  <c r="G12" i="2"/>
  <c r="D12" i="2"/>
  <c r="G11" i="2"/>
  <c r="D11" i="2"/>
  <c r="F10" i="2"/>
  <c r="D10" i="2"/>
  <c r="F9" i="2"/>
  <c r="D9" i="2"/>
  <c r="D13" i="2" s="1"/>
  <c r="G7" i="2"/>
  <c r="U66" i="1"/>
  <c r="V66" i="1" s="1"/>
  <c r="O66" i="1"/>
  <c r="S63" i="1"/>
  <c r="J63" i="1"/>
  <c r="I63" i="1"/>
  <c r="U63" i="1" s="1"/>
  <c r="G63" i="1"/>
  <c r="F63" i="1"/>
  <c r="E63" i="1"/>
  <c r="D63" i="1"/>
  <c r="C63" i="1"/>
  <c r="X62" i="1"/>
  <c r="W62" i="1"/>
  <c r="U62" i="1"/>
  <c r="V62" i="1" s="1"/>
  <c r="R62" i="1"/>
  <c r="P62" i="1"/>
  <c r="N62" i="1"/>
  <c r="M62" i="1"/>
  <c r="L62" i="1"/>
  <c r="O62" i="1" s="1"/>
  <c r="K62" i="1"/>
  <c r="H62" i="1"/>
  <c r="X61" i="1"/>
  <c r="W61" i="1"/>
  <c r="U61" i="1"/>
  <c r="V61" i="1" s="1"/>
  <c r="R61" i="1"/>
  <c r="Q61" i="1"/>
  <c r="P61" i="1"/>
  <c r="H61" i="1"/>
  <c r="X60" i="1"/>
  <c r="W60" i="1"/>
  <c r="U60" i="1"/>
  <c r="V60" i="1" s="1"/>
  <c r="R60" i="1"/>
  <c r="Q60" i="1"/>
  <c r="P60" i="1"/>
  <c r="H60" i="1"/>
  <c r="W59" i="1"/>
  <c r="U59" i="1"/>
  <c r="V59" i="1" s="1"/>
  <c r="R59" i="1"/>
  <c r="T59" i="1" s="1"/>
  <c r="P59" i="1"/>
  <c r="N59" i="1"/>
  <c r="N63" i="1" s="1"/>
  <c r="M59" i="1"/>
  <c r="M63" i="1" s="1"/>
  <c r="L59" i="1"/>
  <c r="L63" i="1" s="1"/>
  <c r="K59" i="1"/>
  <c r="H59" i="1"/>
  <c r="X58" i="1"/>
  <c r="W58" i="1"/>
  <c r="U58" i="1"/>
  <c r="V58" i="1" s="1"/>
  <c r="R58" i="1"/>
  <c r="Q58" i="1"/>
  <c r="P58" i="1"/>
  <c r="H58" i="1"/>
  <c r="X57" i="1"/>
  <c r="W57" i="1"/>
  <c r="W63" i="1" s="1"/>
  <c r="U57" i="1"/>
  <c r="V57" i="1" s="1"/>
  <c r="V63" i="1" s="1"/>
  <c r="R57" i="1"/>
  <c r="R63" i="1" s="1"/>
  <c r="Q57" i="1"/>
  <c r="Q63" i="1" s="1"/>
  <c r="P57" i="1"/>
  <c r="P63" i="1" s="1"/>
  <c r="H57" i="1"/>
  <c r="H63" i="1" s="1"/>
  <c r="S56" i="1"/>
  <c r="S64" i="1" s="1"/>
  <c r="Q56" i="1"/>
  <c r="Q64" i="1" s="1"/>
  <c r="J56" i="1"/>
  <c r="I56" i="1"/>
  <c r="G56" i="1"/>
  <c r="G64" i="1" s="1"/>
  <c r="F56" i="1"/>
  <c r="F64" i="1" s="1"/>
  <c r="E56" i="1"/>
  <c r="E64" i="1" s="1"/>
  <c r="D56" i="1"/>
  <c r="D64" i="1" s="1"/>
  <c r="C56" i="1"/>
  <c r="C64" i="1" s="1"/>
  <c r="X55" i="1"/>
  <c r="W55" i="1"/>
  <c r="U55" i="1"/>
  <c r="V55" i="1" s="1"/>
  <c r="R55" i="1"/>
  <c r="P55" i="1"/>
  <c r="N55" i="1"/>
  <c r="M55" i="1"/>
  <c r="L55" i="1"/>
  <c r="O55" i="1" s="1"/>
  <c r="K55" i="1"/>
  <c r="H55" i="1"/>
  <c r="W54" i="1"/>
  <c r="U54" i="1"/>
  <c r="V54" i="1" s="1"/>
  <c r="R54" i="1"/>
  <c r="T54" i="1" s="1"/>
  <c r="X54" i="1" s="1"/>
  <c r="P54" i="1"/>
  <c r="N54" i="1"/>
  <c r="M54" i="1"/>
  <c r="L54" i="1"/>
  <c r="O54" i="1" s="1"/>
  <c r="K54" i="1"/>
  <c r="H54" i="1"/>
  <c r="W53" i="1"/>
  <c r="U53" i="1"/>
  <c r="V53" i="1" s="1"/>
  <c r="R53" i="1"/>
  <c r="T53" i="1" s="1"/>
  <c r="X53" i="1" s="1"/>
  <c r="P53" i="1"/>
  <c r="N53" i="1"/>
  <c r="M53" i="1"/>
  <c r="L53" i="1"/>
  <c r="O53" i="1" s="1"/>
  <c r="K53" i="1"/>
  <c r="H53" i="1"/>
  <c r="X52" i="1"/>
  <c r="W52" i="1"/>
  <c r="U52" i="1"/>
  <c r="V52" i="1" s="1"/>
  <c r="R52" i="1"/>
  <c r="P52" i="1"/>
  <c r="N52" i="1"/>
  <c r="M52" i="1"/>
  <c r="L52" i="1"/>
  <c r="O52" i="1" s="1"/>
  <c r="K52" i="1"/>
  <c r="H52" i="1"/>
  <c r="X51" i="1"/>
  <c r="W51" i="1"/>
  <c r="U51" i="1"/>
  <c r="V51" i="1" s="1"/>
  <c r="R51" i="1"/>
  <c r="P51" i="1"/>
  <c r="N51" i="1"/>
  <c r="M51" i="1"/>
  <c r="L51" i="1"/>
  <c r="O51" i="1" s="1"/>
  <c r="K51" i="1"/>
  <c r="H51" i="1"/>
  <c r="X50" i="1"/>
  <c r="W50" i="1"/>
  <c r="U50" i="1"/>
  <c r="V50" i="1" s="1"/>
  <c r="R50" i="1"/>
  <c r="P50" i="1"/>
  <c r="N50" i="1"/>
  <c r="M50" i="1"/>
  <c r="L50" i="1"/>
  <c r="O50" i="1" s="1"/>
  <c r="K50" i="1"/>
  <c r="H50" i="1"/>
  <c r="W49" i="1"/>
  <c r="U49" i="1"/>
  <c r="V49" i="1" s="1"/>
  <c r="R49" i="1"/>
  <c r="T49" i="1" s="1"/>
  <c r="X49" i="1" s="1"/>
  <c r="P49" i="1"/>
  <c r="N49" i="1"/>
  <c r="M49" i="1"/>
  <c r="L49" i="1"/>
  <c r="O49" i="1" s="1"/>
  <c r="K49" i="1"/>
  <c r="H49" i="1"/>
  <c r="W48" i="1"/>
  <c r="U48" i="1"/>
  <c r="V48" i="1" s="1"/>
  <c r="R48" i="1"/>
  <c r="T48" i="1" s="1"/>
  <c r="X48" i="1" s="1"/>
  <c r="P48" i="1"/>
  <c r="N48" i="1"/>
  <c r="M48" i="1"/>
  <c r="L48" i="1"/>
  <c r="O48" i="1" s="1"/>
  <c r="K48" i="1"/>
  <c r="H48" i="1"/>
  <c r="W47" i="1"/>
  <c r="U47" i="1"/>
  <c r="V47" i="1" s="1"/>
  <c r="R47" i="1"/>
  <c r="T47" i="1" s="1"/>
  <c r="X47" i="1" s="1"/>
  <c r="P47" i="1"/>
  <c r="N47" i="1"/>
  <c r="M47" i="1"/>
  <c r="L47" i="1"/>
  <c r="O47" i="1" s="1"/>
  <c r="K47" i="1"/>
  <c r="H47" i="1"/>
  <c r="W46" i="1"/>
  <c r="W56" i="1" s="1"/>
  <c r="W64" i="1" s="1"/>
  <c r="U46" i="1"/>
  <c r="V46" i="1" s="1"/>
  <c r="V56" i="1" s="1"/>
  <c r="V64" i="1" s="1"/>
  <c r="R46" i="1"/>
  <c r="P46" i="1"/>
  <c r="P56" i="1" s="1"/>
  <c r="P64" i="1" s="1"/>
  <c r="N46" i="1"/>
  <c r="N56" i="1" s="1"/>
  <c r="N64" i="1" s="1"/>
  <c r="N75" i="1" s="1"/>
  <c r="N83" i="1" s="1"/>
  <c r="M46" i="1"/>
  <c r="M56" i="1" s="1"/>
  <c r="M64" i="1" s="1"/>
  <c r="N74" i="1" s="1"/>
  <c r="N82" i="1" s="1"/>
  <c r="L46" i="1"/>
  <c r="K46" i="1"/>
  <c r="K56" i="1" s="1"/>
  <c r="H46" i="1"/>
  <c r="H56" i="1" s="1"/>
  <c r="H64" i="1" s="1"/>
  <c r="U44" i="1"/>
  <c r="V44" i="1" s="1"/>
  <c r="P44" i="1"/>
  <c r="N44" i="1"/>
  <c r="M44" i="1"/>
  <c r="L44" i="1"/>
  <c r="O44" i="1" s="1"/>
  <c r="K44" i="1"/>
  <c r="S42" i="1"/>
  <c r="Q42" i="1"/>
  <c r="J42" i="1"/>
  <c r="I42" i="1"/>
  <c r="U42" i="1" s="1"/>
  <c r="G42" i="1"/>
  <c r="F42" i="1"/>
  <c r="E42" i="1"/>
  <c r="D42" i="1"/>
  <c r="C42" i="1"/>
  <c r="W41" i="1"/>
  <c r="U41" i="1"/>
  <c r="V41" i="1" s="1"/>
  <c r="R41" i="1"/>
  <c r="T41" i="1" s="1"/>
  <c r="X41" i="1" s="1"/>
  <c r="P41" i="1"/>
  <c r="N41" i="1"/>
  <c r="M41" i="1"/>
  <c r="L41" i="1"/>
  <c r="O41" i="1" s="1"/>
  <c r="K41" i="1"/>
  <c r="H41" i="1"/>
  <c r="W40" i="1"/>
  <c r="U40" i="1"/>
  <c r="V40" i="1" s="1"/>
  <c r="R40" i="1"/>
  <c r="T40" i="1" s="1"/>
  <c r="X40" i="1" s="1"/>
  <c r="P40" i="1"/>
  <c r="N40" i="1"/>
  <c r="M40" i="1"/>
  <c r="L40" i="1"/>
  <c r="O40" i="1" s="1"/>
  <c r="K40" i="1"/>
  <c r="H40" i="1"/>
  <c r="W39" i="1"/>
  <c r="W42" i="1" s="1"/>
  <c r="U39" i="1"/>
  <c r="V39" i="1" s="1"/>
  <c r="R39" i="1"/>
  <c r="T39" i="1" s="1"/>
  <c r="X39" i="1" s="1"/>
  <c r="P39" i="1"/>
  <c r="N39" i="1"/>
  <c r="M39" i="1"/>
  <c r="L39" i="1"/>
  <c r="O39" i="1" s="1"/>
  <c r="K39" i="1"/>
  <c r="H39" i="1"/>
  <c r="U38" i="1"/>
  <c r="V38" i="1" s="1"/>
  <c r="V42" i="1" s="1"/>
  <c r="R38" i="1"/>
  <c r="P38" i="1"/>
  <c r="P42" i="1" s="1"/>
  <c r="N38" i="1"/>
  <c r="N42" i="1" s="1"/>
  <c r="M38" i="1"/>
  <c r="L38" i="1"/>
  <c r="K38" i="1"/>
  <c r="K42" i="1" s="1"/>
  <c r="H38" i="1"/>
  <c r="H42" i="1" s="1"/>
  <c r="T37" i="1"/>
  <c r="S37" i="1"/>
  <c r="Q37" i="1"/>
  <c r="J37" i="1"/>
  <c r="I37" i="1"/>
  <c r="U37" i="1" s="1"/>
  <c r="G37" i="1"/>
  <c r="F37" i="1"/>
  <c r="E37" i="1"/>
  <c r="D37" i="1"/>
  <c r="C37" i="1"/>
  <c r="X36" i="1"/>
  <c r="W36" i="1"/>
  <c r="U36" i="1"/>
  <c r="V36" i="1" s="1"/>
  <c r="R36" i="1"/>
  <c r="P36" i="1"/>
  <c r="N36" i="1"/>
  <c r="M36" i="1"/>
  <c r="L36" i="1"/>
  <c r="O36" i="1" s="1"/>
  <c r="K36" i="1"/>
  <c r="H36" i="1"/>
  <c r="X35" i="1"/>
  <c r="W35" i="1"/>
  <c r="U35" i="1"/>
  <c r="V35" i="1" s="1"/>
  <c r="R35" i="1"/>
  <c r="P35" i="1"/>
  <c r="N35" i="1"/>
  <c r="M35" i="1"/>
  <c r="L35" i="1"/>
  <c r="O35" i="1" s="1"/>
  <c r="K35" i="1"/>
  <c r="H35" i="1"/>
  <c r="X34" i="1"/>
  <c r="W34" i="1"/>
  <c r="U34" i="1"/>
  <c r="V34" i="1" s="1"/>
  <c r="R34" i="1"/>
  <c r="P34" i="1"/>
  <c r="N34" i="1"/>
  <c r="M34" i="1"/>
  <c r="L34" i="1"/>
  <c r="O34" i="1" s="1"/>
  <c r="K34" i="1"/>
  <c r="H34" i="1"/>
  <c r="X33" i="1"/>
  <c r="W33" i="1"/>
  <c r="U33" i="1"/>
  <c r="V33" i="1" s="1"/>
  <c r="R33" i="1"/>
  <c r="P33" i="1"/>
  <c r="N33" i="1"/>
  <c r="M33" i="1"/>
  <c r="L33" i="1"/>
  <c r="O33" i="1" s="1"/>
  <c r="K33" i="1"/>
  <c r="H33" i="1"/>
  <c r="X32" i="1"/>
  <c r="W32" i="1"/>
  <c r="U32" i="1"/>
  <c r="V32" i="1" s="1"/>
  <c r="R32" i="1"/>
  <c r="P32" i="1"/>
  <c r="N32" i="1"/>
  <c r="M32" i="1"/>
  <c r="L32" i="1"/>
  <c r="O32" i="1" s="1"/>
  <c r="K32" i="1"/>
  <c r="H32" i="1"/>
  <c r="X31" i="1"/>
  <c r="W31" i="1"/>
  <c r="U31" i="1"/>
  <c r="V31" i="1" s="1"/>
  <c r="R31" i="1"/>
  <c r="P31" i="1"/>
  <c r="N31" i="1"/>
  <c r="M31" i="1"/>
  <c r="L31" i="1"/>
  <c r="O31" i="1" s="1"/>
  <c r="K31" i="1"/>
  <c r="H31" i="1"/>
  <c r="X30" i="1"/>
  <c r="W30" i="1"/>
  <c r="U30" i="1"/>
  <c r="V30" i="1" s="1"/>
  <c r="R30" i="1"/>
  <c r="P30" i="1"/>
  <c r="N30" i="1"/>
  <c r="M30" i="1"/>
  <c r="L30" i="1"/>
  <c r="O30" i="1" s="1"/>
  <c r="K30" i="1"/>
  <c r="H30" i="1"/>
  <c r="X29" i="1"/>
  <c r="W29" i="1"/>
  <c r="W37" i="1" s="1"/>
  <c r="U29" i="1"/>
  <c r="V29" i="1" s="1"/>
  <c r="V37" i="1" s="1"/>
  <c r="R29" i="1"/>
  <c r="R37" i="1" s="1"/>
  <c r="P29" i="1"/>
  <c r="P37" i="1" s="1"/>
  <c r="N29" i="1"/>
  <c r="N37" i="1" s="1"/>
  <c r="M29" i="1"/>
  <c r="M37" i="1" s="1"/>
  <c r="L29" i="1"/>
  <c r="K29" i="1"/>
  <c r="K37" i="1" s="1"/>
  <c r="H29" i="1"/>
  <c r="H37" i="1" s="1"/>
  <c r="T28" i="1"/>
  <c r="S28" i="1"/>
  <c r="Q28" i="1"/>
  <c r="I28" i="1"/>
  <c r="U28" i="1" s="1"/>
  <c r="F28" i="1"/>
  <c r="E28" i="1"/>
  <c r="D28" i="1"/>
  <c r="C28" i="1"/>
  <c r="X27" i="1"/>
  <c r="W27" i="1"/>
  <c r="U27" i="1"/>
  <c r="V27" i="1" s="1"/>
  <c r="R27" i="1"/>
  <c r="P27" i="1"/>
  <c r="N27" i="1"/>
  <c r="M27" i="1"/>
  <c r="L27" i="1"/>
  <c r="O27" i="1" s="1"/>
  <c r="K27" i="1"/>
  <c r="H27" i="1"/>
  <c r="X26" i="1"/>
  <c r="W26" i="1"/>
  <c r="U26" i="1"/>
  <c r="V26" i="1" s="1"/>
  <c r="R26" i="1"/>
  <c r="J26" i="1"/>
  <c r="H26" i="1"/>
  <c r="X25" i="1"/>
  <c r="W25" i="1"/>
  <c r="U25" i="1"/>
  <c r="V25" i="1" s="1"/>
  <c r="R25" i="1"/>
  <c r="P25" i="1"/>
  <c r="N25" i="1"/>
  <c r="M25" i="1"/>
  <c r="L25" i="1"/>
  <c r="O25" i="1" s="1"/>
  <c r="K25" i="1"/>
  <c r="H25" i="1"/>
  <c r="X24" i="1"/>
  <c r="W24" i="1"/>
  <c r="U24" i="1"/>
  <c r="V24" i="1" s="1"/>
  <c r="R24" i="1"/>
  <c r="P24" i="1"/>
  <c r="N24" i="1"/>
  <c r="M24" i="1"/>
  <c r="L24" i="1"/>
  <c r="O24" i="1" s="1"/>
  <c r="K24" i="1"/>
  <c r="H24" i="1"/>
  <c r="X23" i="1"/>
  <c r="W23" i="1"/>
  <c r="U23" i="1"/>
  <c r="V23" i="1" s="1"/>
  <c r="V28" i="1" s="1"/>
  <c r="P23" i="1"/>
  <c r="N23" i="1"/>
  <c r="M23" i="1"/>
  <c r="L23" i="1"/>
  <c r="K23" i="1"/>
  <c r="G23" i="1"/>
  <c r="T22" i="1"/>
  <c r="S22" i="1"/>
  <c r="S43" i="1" s="1"/>
  <c r="Q22" i="1"/>
  <c r="Q43" i="1" s="1"/>
  <c r="I22" i="1"/>
  <c r="G22" i="1"/>
  <c r="F22" i="1"/>
  <c r="F43" i="1" s="1"/>
  <c r="E22" i="1"/>
  <c r="E43" i="1" s="1"/>
  <c r="D22" i="1"/>
  <c r="D43" i="1" s="1"/>
  <c r="C22" i="1"/>
  <c r="C43" i="1" s="1"/>
  <c r="X21" i="1"/>
  <c r="W21" i="1"/>
  <c r="U21" i="1"/>
  <c r="R21" i="1"/>
  <c r="P21" i="1"/>
  <c r="N21" i="1"/>
  <c r="M21" i="1"/>
  <c r="L21" i="1"/>
  <c r="O21" i="1" s="1"/>
  <c r="K21" i="1"/>
  <c r="H21" i="1"/>
  <c r="X20" i="1"/>
  <c r="W20" i="1"/>
  <c r="U20" i="1"/>
  <c r="V20" i="1" s="1"/>
  <c r="R20" i="1"/>
  <c r="J20" i="1"/>
  <c r="H20" i="1"/>
  <c r="X19" i="1"/>
  <c r="X22" i="1" s="1"/>
  <c r="W19" i="1"/>
  <c r="W22" i="1" s="1"/>
  <c r="W43" i="1" s="1"/>
  <c r="U19" i="1"/>
  <c r="V19" i="1" s="1"/>
  <c r="V22" i="1" s="1"/>
  <c r="V43" i="1" s="1"/>
  <c r="R19" i="1"/>
  <c r="R22" i="1" s="1"/>
  <c r="P19" i="1"/>
  <c r="N19" i="1"/>
  <c r="M19" i="1"/>
  <c r="L19" i="1"/>
  <c r="K19" i="1"/>
  <c r="H19" i="1"/>
  <c r="H22" i="1" s="1"/>
  <c r="Q18" i="1"/>
  <c r="Q45" i="1" s="1"/>
  <c r="Q65" i="1" s="1"/>
  <c r="J18" i="1"/>
  <c r="I18" i="1"/>
  <c r="G18" i="1"/>
  <c r="F18" i="1"/>
  <c r="F45" i="1" s="1"/>
  <c r="F65" i="1" s="1"/>
  <c r="F67" i="1" s="1"/>
  <c r="E18" i="1"/>
  <c r="E45" i="1" s="1"/>
  <c r="E65" i="1" s="1"/>
  <c r="E67" i="1" s="1"/>
  <c r="D18" i="1"/>
  <c r="D45" i="1" s="1"/>
  <c r="D65" i="1" s="1"/>
  <c r="D67" i="1" s="1"/>
  <c r="C18" i="1"/>
  <c r="C45" i="1" s="1"/>
  <c r="C65" i="1" s="1"/>
  <c r="C67" i="1" s="1"/>
  <c r="T17" i="1"/>
  <c r="S17" i="1"/>
  <c r="Q17" i="1"/>
  <c r="J17" i="1"/>
  <c r="I17" i="1"/>
  <c r="G17" i="1"/>
  <c r="F17" i="1"/>
  <c r="E17" i="1"/>
  <c r="D17" i="1"/>
  <c r="C17" i="1"/>
  <c r="X16" i="1"/>
  <c r="X17" i="1" s="1"/>
  <c r="W16" i="1"/>
  <c r="W17" i="1" s="1"/>
  <c r="U16" i="1"/>
  <c r="R16" i="1"/>
  <c r="R17" i="1" s="1"/>
  <c r="P16" i="1"/>
  <c r="P17" i="1" s="1"/>
  <c r="N16" i="1"/>
  <c r="N17" i="1" s="1"/>
  <c r="M16" i="1"/>
  <c r="M17" i="1" s="1"/>
  <c r="L16" i="1"/>
  <c r="K16" i="1"/>
  <c r="K17" i="1" s="1"/>
  <c r="H16" i="1"/>
  <c r="H17" i="1" s="1"/>
  <c r="T15" i="1"/>
  <c r="S15" i="1"/>
  <c r="Q15" i="1"/>
  <c r="J15" i="1"/>
  <c r="I15" i="1"/>
  <c r="G15" i="1"/>
  <c r="F15" i="1"/>
  <c r="E15" i="1"/>
  <c r="D15" i="1"/>
  <c r="C15" i="1"/>
  <c r="U14" i="1"/>
  <c r="V14" i="1" s="1"/>
  <c r="R14" i="1"/>
  <c r="T14" i="1" s="1"/>
  <c r="P14" i="1"/>
  <c r="N14" i="1"/>
  <c r="M14" i="1"/>
  <c r="X14" i="1" s="1"/>
  <c r="L14" i="1"/>
  <c r="O14" i="1" s="1"/>
  <c r="K14" i="1"/>
  <c r="H14" i="1"/>
  <c r="X13" i="1"/>
  <c r="W13" i="1"/>
  <c r="U13" i="1"/>
  <c r="V13" i="1" s="1"/>
  <c r="R13" i="1"/>
  <c r="P13" i="1"/>
  <c r="N13" i="1"/>
  <c r="M13" i="1"/>
  <c r="L13" i="1"/>
  <c r="O13" i="1" s="1"/>
  <c r="K13" i="1"/>
  <c r="H13" i="1"/>
  <c r="X12" i="1"/>
  <c r="X15" i="1" s="1"/>
  <c r="W12" i="1"/>
  <c r="W15" i="1" s="1"/>
  <c r="U12" i="1"/>
  <c r="R12" i="1"/>
  <c r="R15" i="1" s="1"/>
  <c r="P12" i="1"/>
  <c r="P15" i="1" s="1"/>
  <c r="N12" i="1"/>
  <c r="N15" i="1" s="1"/>
  <c r="M12" i="1"/>
  <c r="M15" i="1" s="1"/>
  <c r="L12" i="1"/>
  <c r="K12" i="1"/>
  <c r="K15" i="1" s="1"/>
  <c r="H12" i="1"/>
  <c r="H15" i="1" s="1"/>
  <c r="T11" i="1"/>
  <c r="T18" i="1" s="1"/>
  <c r="S11" i="1"/>
  <c r="S18" i="1" s="1"/>
  <c r="S45" i="1" s="1"/>
  <c r="S65" i="1" s="1"/>
  <c r="S67" i="1" s="1"/>
  <c r="Q11" i="1"/>
  <c r="J11" i="1"/>
  <c r="I11" i="1"/>
  <c r="G11" i="1"/>
  <c r="F11" i="1"/>
  <c r="E11" i="1"/>
  <c r="D11" i="1"/>
  <c r="C11" i="1"/>
  <c r="X10" i="1"/>
  <c r="X11" i="1" s="1"/>
  <c r="X18" i="1" s="1"/>
  <c r="W10" i="1"/>
  <c r="W11" i="1" s="1"/>
  <c r="W18" i="1" s="1"/>
  <c r="W45" i="1" s="1"/>
  <c r="W65" i="1" s="1"/>
  <c r="W67" i="1" s="1"/>
  <c r="R10" i="1"/>
  <c r="R11" i="1" s="1"/>
  <c r="R18" i="1" s="1"/>
  <c r="P10" i="1"/>
  <c r="N10" i="1"/>
  <c r="M10" i="1"/>
  <c r="L10" i="1"/>
  <c r="K10" i="1"/>
  <c r="H10" i="1"/>
  <c r="F7" i="3" l="1"/>
  <c r="E13" i="3"/>
  <c r="F13" i="3" s="1"/>
  <c r="F9" i="3"/>
  <c r="F10" i="3"/>
  <c r="F11" i="3"/>
  <c r="F12" i="3"/>
  <c r="F16" i="3"/>
  <c r="D46" i="3"/>
  <c r="E33" i="3"/>
  <c r="E39" i="3" s="1"/>
  <c r="F25" i="3"/>
  <c r="F26" i="3"/>
  <c r="F27" i="3"/>
  <c r="F28" i="3"/>
  <c r="F29" i="3"/>
  <c r="F30" i="3"/>
  <c r="F31" i="3"/>
  <c r="F32" i="3"/>
  <c r="F35" i="3"/>
  <c r="F36" i="3"/>
  <c r="F37" i="3"/>
  <c r="F38" i="3"/>
  <c r="F13" i="2"/>
  <c r="G13" i="2" s="1"/>
  <c r="G9" i="2"/>
  <c r="G10" i="2"/>
  <c r="D23" i="2"/>
  <c r="F33" i="2"/>
  <c r="F39" i="2" s="1"/>
  <c r="G25" i="2"/>
  <c r="G33" i="2" s="1"/>
  <c r="D43" i="2"/>
  <c r="D49" i="2" s="1"/>
  <c r="D42" i="2"/>
  <c r="D48" i="2" s="1"/>
  <c r="D41" i="2"/>
  <c r="D40" i="2"/>
  <c r="E43" i="2"/>
  <c r="E49" i="2" s="1"/>
  <c r="E56" i="2" s="1"/>
  <c r="E42" i="2"/>
  <c r="E48" i="2" s="1"/>
  <c r="E55" i="2" s="1"/>
  <c r="E41" i="2"/>
  <c r="E40" i="2"/>
  <c r="H18" i="1"/>
  <c r="H11" i="1"/>
  <c r="K18" i="1"/>
  <c r="K11" i="1"/>
  <c r="L18" i="1"/>
  <c r="L11" i="1"/>
  <c r="O10" i="1"/>
  <c r="M18" i="1"/>
  <c r="M11" i="1"/>
  <c r="N18" i="1"/>
  <c r="N11" i="1"/>
  <c r="P18" i="1"/>
  <c r="P11" i="1"/>
  <c r="U11" i="1"/>
  <c r="V10" i="1"/>
  <c r="V11" i="1" s="1"/>
  <c r="L15" i="1"/>
  <c r="O15" i="1" s="1"/>
  <c r="O12" i="1"/>
  <c r="U15" i="1"/>
  <c r="V12" i="1"/>
  <c r="V15" i="1" s="1"/>
  <c r="L17" i="1"/>
  <c r="O17" i="1" s="1"/>
  <c r="O16" i="1"/>
  <c r="U17" i="1"/>
  <c r="V17" i="1" s="1"/>
  <c r="V16" i="1"/>
  <c r="S76" i="1"/>
  <c r="S84" i="1" s="1"/>
  <c r="Q67" i="1"/>
  <c r="O19" i="1"/>
  <c r="J22" i="1"/>
  <c r="P20" i="1"/>
  <c r="I43" i="1"/>
  <c r="U22" i="1"/>
  <c r="G28" i="1"/>
  <c r="G43" i="1" s="1"/>
  <c r="G45" i="1" s="1"/>
  <c r="G65" i="1" s="1"/>
  <c r="G67" i="1" s="1"/>
  <c r="R23" i="1"/>
  <c r="R28" i="1" s="1"/>
  <c r="H23" i="1"/>
  <c r="H28" i="1" s="1"/>
  <c r="H43" i="1" s="1"/>
  <c r="O23" i="1"/>
  <c r="J28" i="1"/>
  <c r="P26" i="1"/>
  <c r="L37" i="1"/>
  <c r="O37" i="1" s="1"/>
  <c r="O29" i="1"/>
  <c r="L42" i="1"/>
  <c r="O38" i="1"/>
  <c r="M42" i="1"/>
  <c r="X38" i="1"/>
  <c r="X42" i="1" s="1"/>
  <c r="X43" i="1" s="1"/>
  <c r="X45" i="1" s="1"/>
  <c r="R42" i="1"/>
  <c r="T38" i="1"/>
  <c r="T42" i="1" s="1"/>
  <c r="T43" i="1" s="1"/>
  <c r="T45" i="1" s="1"/>
  <c r="L56" i="1"/>
  <c r="L64" i="1" s="1"/>
  <c r="N73" i="1" s="1"/>
  <c r="N81" i="1" s="1"/>
  <c r="O46" i="1"/>
  <c r="O56" i="1" s="1"/>
  <c r="R56" i="1"/>
  <c r="R64" i="1" s="1"/>
  <c r="T46" i="1"/>
  <c r="I64" i="1"/>
  <c r="U64" i="1" s="1"/>
  <c r="U56" i="1"/>
  <c r="K63" i="1"/>
  <c r="K64" i="1" s="1"/>
  <c r="N72" i="1" s="1"/>
  <c r="O59" i="1"/>
  <c r="O63" i="1" s="1"/>
  <c r="T63" i="1"/>
  <c r="X59" i="1"/>
  <c r="X63" i="1" s="1"/>
  <c r="F33" i="3" l="1"/>
  <c r="E43" i="3"/>
  <c r="E42" i="3"/>
  <c r="E41" i="3"/>
  <c r="E40" i="3"/>
  <c r="F39" i="3"/>
  <c r="D53" i="3"/>
  <c r="D57" i="3" s="1"/>
  <c r="D50" i="3"/>
  <c r="E44" i="2"/>
  <c r="E46" i="2"/>
  <c r="E54" i="2"/>
  <c r="E47" i="2"/>
  <c r="D44" i="2"/>
  <c r="D46" i="2"/>
  <c r="D50" i="2" s="1"/>
  <c r="D47" i="2"/>
  <c r="D54" i="2"/>
  <c r="F43" i="2"/>
  <c r="F42" i="2"/>
  <c r="F41" i="2"/>
  <c r="F40" i="2"/>
  <c r="G39" i="2"/>
  <c r="N80" i="1"/>
  <c r="N84" i="1" s="1"/>
  <c r="N85" i="1" s="1"/>
  <c r="N76" i="1"/>
  <c r="N77" i="1" s="1"/>
  <c r="T56" i="1"/>
  <c r="T64" i="1" s="1"/>
  <c r="X46" i="1"/>
  <c r="X64" i="1" s="1"/>
  <c r="O64" i="1"/>
  <c r="T65" i="1"/>
  <c r="T67" i="1" s="1"/>
  <c r="X65" i="1"/>
  <c r="X67" i="1" s="1"/>
  <c r="O42" i="1"/>
  <c r="N26" i="1"/>
  <c r="N28" i="1" s="1"/>
  <c r="M26" i="1"/>
  <c r="M28" i="1" s="1"/>
  <c r="L26" i="1"/>
  <c r="K26" i="1"/>
  <c r="K28" i="1" s="1"/>
  <c r="P28" i="1"/>
  <c r="R43" i="1"/>
  <c r="R45" i="1" s="1"/>
  <c r="R65" i="1" s="1"/>
  <c r="R67" i="1" s="1"/>
  <c r="U43" i="1"/>
  <c r="I45" i="1"/>
  <c r="N20" i="1"/>
  <c r="N22" i="1" s="1"/>
  <c r="N43" i="1" s="1"/>
  <c r="M20" i="1"/>
  <c r="M22" i="1" s="1"/>
  <c r="M43" i="1" s="1"/>
  <c r="L20" i="1"/>
  <c r="K20" i="1"/>
  <c r="K22" i="1" s="1"/>
  <c r="K43" i="1" s="1"/>
  <c r="P22" i="1"/>
  <c r="P43" i="1" s="1"/>
  <c r="J43" i="1"/>
  <c r="J45" i="1" s="1"/>
  <c r="J65" i="1" s="1"/>
  <c r="J67" i="1" s="1"/>
  <c r="V18" i="1"/>
  <c r="V45" i="1" s="1"/>
  <c r="V65" i="1" s="1"/>
  <c r="V67" i="1" s="1"/>
  <c r="U18" i="1"/>
  <c r="P45" i="1"/>
  <c r="N45" i="1"/>
  <c r="F22" i="2" s="1"/>
  <c r="M45" i="1"/>
  <c r="F21" i="2" s="1"/>
  <c r="O11" i="1"/>
  <c r="O18" i="1"/>
  <c r="K45" i="1"/>
  <c r="F19" i="2" s="1"/>
  <c r="H45" i="1"/>
  <c r="H65" i="1" s="1"/>
  <c r="H67" i="1" s="1"/>
  <c r="G19" i="2" l="1"/>
  <c r="E19" i="3"/>
  <c r="F19" i="3" s="1"/>
  <c r="G21" i="2"/>
  <c r="E21" i="3"/>
  <c r="F21" i="3" s="1"/>
  <c r="G22" i="2"/>
  <c r="E22" i="3"/>
  <c r="F22" i="3" s="1"/>
  <c r="P65" i="1"/>
  <c r="P67" i="1" s="1"/>
  <c r="F14" i="2"/>
  <c r="E14" i="3" s="1"/>
  <c r="E44" i="3"/>
  <c r="F44" i="3" s="1"/>
  <c r="F40" i="3"/>
  <c r="E46" i="3"/>
  <c r="F41" i="3"/>
  <c r="F42" i="3"/>
  <c r="E48" i="3"/>
  <c r="F43" i="3"/>
  <c r="E49" i="3"/>
  <c r="F44" i="2"/>
  <c r="G44" i="2" s="1"/>
  <c r="G40" i="2"/>
  <c r="F46" i="2"/>
  <c r="G41" i="2"/>
  <c r="G42" i="2"/>
  <c r="F48" i="2"/>
  <c r="G43" i="2"/>
  <c r="F49" i="2"/>
  <c r="E53" i="2"/>
  <c r="E57" i="2" s="1"/>
  <c r="E50" i="2"/>
  <c r="M72" i="1"/>
  <c r="K65" i="1"/>
  <c r="K67" i="1" s="1"/>
  <c r="M74" i="1"/>
  <c r="M65" i="1"/>
  <c r="M67" i="1" s="1"/>
  <c r="M75" i="1"/>
  <c r="N65" i="1"/>
  <c r="N67" i="1" s="1"/>
  <c r="J75" i="1"/>
  <c r="J74" i="1"/>
  <c r="J73" i="1"/>
  <c r="J72" i="1"/>
  <c r="O20" i="1"/>
  <c r="L22" i="1"/>
  <c r="I65" i="1"/>
  <c r="U45" i="1"/>
  <c r="O26" i="1"/>
  <c r="L28" i="1"/>
  <c r="O28" i="1" s="1"/>
  <c r="E23" i="3" l="1"/>
  <c r="F23" i="3" s="1"/>
  <c r="F14" i="3"/>
  <c r="G14" i="2"/>
  <c r="F23" i="2"/>
  <c r="G23" i="2" s="1"/>
  <c r="E56" i="3"/>
  <c r="F56" i="3" s="1"/>
  <c r="F49" i="3"/>
  <c r="E55" i="3"/>
  <c r="F55" i="3" s="1"/>
  <c r="F48" i="3"/>
  <c r="E53" i="3"/>
  <c r="F46" i="3"/>
  <c r="F56" i="2"/>
  <c r="G56" i="2" s="1"/>
  <c r="G49" i="2"/>
  <c r="F55" i="2"/>
  <c r="G55" i="2" s="1"/>
  <c r="G48" i="2"/>
  <c r="F53" i="2"/>
  <c r="G46" i="2"/>
  <c r="I67" i="1"/>
  <c r="U67" i="1" s="1"/>
  <c r="U65" i="1"/>
  <c r="L43" i="1"/>
  <c r="O22" i="1"/>
  <c r="J80" i="1"/>
  <c r="J76" i="1"/>
  <c r="J81" i="1"/>
  <c r="J77" i="1"/>
  <c r="J82" i="1"/>
  <c r="J83" i="1"/>
  <c r="M83" i="1"/>
  <c r="P83" i="1" s="1"/>
  <c r="P75" i="1"/>
  <c r="R75" i="1" s="1"/>
  <c r="M82" i="1"/>
  <c r="P82" i="1" s="1"/>
  <c r="P74" i="1"/>
  <c r="R74" i="1" s="1"/>
  <c r="M80" i="1"/>
  <c r="P72" i="1"/>
  <c r="F53" i="3" l="1"/>
  <c r="G53" i="2"/>
  <c r="R72" i="1"/>
  <c r="P80" i="1"/>
  <c r="R83" i="1"/>
  <c r="R82" i="1"/>
  <c r="J85" i="1"/>
  <c r="J84" i="1"/>
  <c r="R80" i="1"/>
  <c r="O43" i="1"/>
  <c r="L45" i="1"/>
  <c r="F20" i="2" s="1"/>
  <c r="E20" i="3" s="1"/>
  <c r="F20" i="3" l="1"/>
  <c r="E47" i="3"/>
  <c r="E54" i="3"/>
  <c r="G20" i="2"/>
  <c r="F47" i="2"/>
  <c r="F54" i="2"/>
  <c r="M73" i="1"/>
  <c r="L65" i="1"/>
  <c r="L67" i="1" s="1"/>
  <c r="O45" i="1"/>
  <c r="O65" i="1" s="1"/>
  <c r="O67" i="1" s="1"/>
  <c r="F54" i="3" l="1"/>
  <c r="F57" i="3" s="1"/>
  <c r="E57" i="3"/>
  <c r="F47" i="3"/>
  <c r="E50" i="3"/>
  <c r="F50" i="3" s="1"/>
  <c r="G54" i="2"/>
  <c r="F57" i="2"/>
  <c r="G47" i="2"/>
  <c r="F50" i="2"/>
  <c r="G50" i="2" s="1"/>
  <c r="M81" i="1"/>
  <c r="P73" i="1"/>
  <c r="M76" i="1"/>
  <c r="M77" i="1" s="1"/>
  <c r="G57" i="2" l="1"/>
  <c r="R73" i="1"/>
  <c r="P76" i="1"/>
  <c r="P81" i="1"/>
  <c r="M84" i="1"/>
  <c r="M85" i="1" s="1"/>
  <c r="R81" i="1" l="1"/>
  <c r="P84" i="1"/>
  <c r="P77" i="1"/>
  <c r="R77" i="1" s="1"/>
  <c r="R76" i="1"/>
  <c r="T76" i="1" s="1"/>
  <c r="P85" i="1" l="1"/>
  <c r="R85" i="1" s="1"/>
  <c r="R84" i="1"/>
  <c r="T84" i="1" s="1"/>
</calcChain>
</file>

<file path=xl/sharedStrings.xml><?xml version="1.0" encoding="utf-8"?>
<sst xmlns="http://schemas.openxmlformats.org/spreadsheetml/2006/main" count="300" uniqueCount="192">
  <si>
    <t>RAZDJEL 003: UO ZA KOMUNALNI SUSTAV I ZAŠTITU OKOLIŠA</t>
  </si>
  <si>
    <t>GLAVA 302: 30970-JAVNA VATROGASNA POSTROJBA OPATIJA</t>
  </si>
  <si>
    <t>JAVNA VATROGASNA POSTROJBA OPATIJA</t>
  </si>
  <si>
    <t>Program 3090: PROTUPOŽARNA ZAŠTITA I SPAŠAVANJE</t>
  </si>
  <si>
    <t>Aktivnost 309001: REDOVNA DJELATNOST</t>
  </si>
  <si>
    <t>Aktivnost 309002: REDOVNA DJELATNOST IZNAD MINIMALNOG STANDARDA</t>
  </si>
  <si>
    <t>IZVORI FINANCIRANJA 2023.</t>
  </si>
  <si>
    <t>EUR</t>
  </si>
  <si>
    <t>Naziv računa</t>
  </si>
  <si>
    <t>Izvršenje 2018.</t>
  </si>
  <si>
    <t>Izvršenje 2019.</t>
  </si>
  <si>
    <t>Izvršenje 2020.</t>
  </si>
  <si>
    <t>Izvršenje 2021.</t>
  </si>
  <si>
    <t>Plan 2022.             I Izmjene</t>
  </si>
  <si>
    <t>Plan 2022. I Izmjene EUR</t>
  </si>
  <si>
    <t>Minimalni
standardi
Uredba NN 147/21</t>
  </si>
  <si>
    <t>Grad Opatija
57%</t>
  </si>
  <si>
    <t>Općina
Matulji
23%</t>
  </si>
  <si>
    <t>Općina
Lovran
14%</t>
  </si>
  <si>
    <t xml:space="preserve">Općina 
M.Draga
6% </t>
  </si>
  <si>
    <t>OSTALE
JLS</t>
  </si>
  <si>
    <t>Izvan minimalnih
standarda</t>
  </si>
  <si>
    <t>Ostali izvori</t>
  </si>
  <si>
    <t>RAZLIKA 2023/2022  KN</t>
  </si>
  <si>
    <t>PROJEKCIJA 2024.  KN</t>
  </si>
  <si>
    <t>PROJEKCIJA 2025.   KN</t>
  </si>
  <si>
    <t>IZNOS U EUR - TEČAJ 2023.</t>
  </si>
  <si>
    <t>PLAN 2023 PRIJEDLOG UKUPNO EUR</t>
  </si>
  <si>
    <t>PROJEKCIJA 2024.</t>
  </si>
  <si>
    <t>PROJEKCIJA 2025.</t>
  </si>
  <si>
    <t>6a</t>
  </si>
  <si>
    <t>13'(10-12)</t>
  </si>
  <si>
    <t>14 (7-8-15)</t>
  </si>
  <si>
    <t>Plaće za zaposlene</t>
  </si>
  <si>
    <t>Plaće (bruto)</t>
  </si>
  <si>
    <t>Doprinos za MIO</t>
  </si>
  <si>
    <t>Doprinos za zdravstvo</t>
  </si>
  <si>
    <t>Doprinos za zapošljavanje</t>
  </si>
  <si>
    <t>Doprinosi na plaće</t>
  </si>
  <si>
    <t>Naknade troškova za zap.</t>
  </si>
  <si>
    <t>Ostali rashodi za zaposlene</t>
  </si>
  <si>
    <t>RASHODI ZA ZAPOSLENE</t>
  </si>
  <si>
    <t>Izdaci za sl. putovanja</t>
  </si>
  <si>
    <t>Naknada za prijevoz na posao</t>
  </si>
  <si>
    <t xml:space="preserve">Stručno usavršavanje zaposlenih </t>
  </si>
  <si>
    <t>Naknade troškova zaposlenima</t>
  </si>
  <si>
    <t>Uredski i ostali potr. mater.</t>
  </si>
  <si>
    <t>Energija</t>
  </si>
  <si>
    <t>Materijal i dijelovi za tek. i inv. održ.</t>
  </si>
  <si>
    <t>Sitni inventar in auto gume</t>
  </si>
  <si>
    <t>Zaštitna odjeća i obuća</t>
  </si>
  <si>
    <t>Rashodi za materijal i energiju</t>
  </si>
  <si>
    <t>Usluge telefona pošte i prijevoza</t>
  </si>
  <si>
    <t>Usluge tekućeg i investric.odr.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</si>
  <si>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</si>
  <si>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</si>
  <si>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</si>
  <si>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</si>
  <si>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</si>
  <si>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Ostale usluge</t>
  </si>
  <si>
    <t>Rashodi za usluge</t>
  </si>
  <si>
    <t>Naknade za rad predst.i izvrš.tijela</t>
  </si>
  <si>
    <t>Premije osiguranja</t>
  </si>
  <si>
    <t>Reprezentacija</t>
  </si>
  <si>
    <t>Ostali nespom. rashodi poslov.</t>
  </si>
  <si>
    <t>Ostali nespomenuti rashodi poslovanja</t>
  </si>
  <si>
    <t>MATERIJALNI RASHODI</t>
  </si>
  <si>
    <t>Bankarske usl. i usl. platnog pr.</t>
  </si>
  <si>
    <t>RASHODI POSLOVANJA</t>
  </si>
  <si>
    <t>Uredska oprema i namještaj</t>
  </si>
  <si>
    <t>Komunikacijska oprema</t>
  </si>
  <si>
    <t>oprema za održav.i zaštitu</t>
  </si>
  <si>
    <t>Ulaganje u računalne programe</t>
  </si>
  <si>
    <t>Dodatno ulaganje na prijevoz.sred</t>
  </si>
  <si>
    <t>Otplata glavnice primljenih zajmova</t>
  </si>
  <si>
    <t>Kamate za primljene kredite</t>
  </si>
  <si>
    <t>Kapitalne donacije neprofitnim org.</t>
  </si>
  <si>
    <t>Prijevozna sredstva</t>
  </si>
  <si>
    <t>3,4,5</t>
  </si>
  <si>
    <t>Rashodi za nabavu nefinanc. i finacijske imovine</t>
  </si>
  <si>
    <t>POSLOVNI OBJEKTI, izgradnja vatrogasnog centra, namjenska sredstva - EU</t>
  </si>
  <si>
    <t>POSLOVNI OBJEKTI, izgradnja vatrogasnog centra, namjenska sredstva - namjenski</t>
  </si>
  <si>
    <t>POSLOVNI OBJEKTI, izgradnja vatrogasnog centra</t>
  </si>
  <si>
    <t>Otplata glavnice primljenih kredita od tuzemnih</t>
  </si>
  <si>
    <t>Izrada projektne dokumentacije za vatrogasni dom</t>
  </si>
  <si>
    <t>IZGRADNJA VATROG. CENTRA</t>
  </si>
  <si>
    <t>UKUPNO KAPITALNA ULAGANJA</t>
  </si>
  <si>
    <t>UKUPNO PLAN J V P</t>
  </si>
  <si>
    <t>Pokriće manjka iz 2021.g.</t>
  </si>
  <si>
    <t>Raspored na JLS</t>
  </si>
  <si>
    <t>KUNE</t>
  </si>
  <si>
    <t>Miminalni</t>
  </si>
  <si>
    <t>redovna</t>
  </si>
  <si>
    <t>kapitalna</t>
  </si>
  <si>
    <t>Iznad minimalnih</t>
  </si>
  <si>
    <t>ukupno</t>
  </si>
  <si>
    <t>ostali izvori</t>
  </si>
  <si>
    <t>Sveukupno</t>
  </si>
  <si>
    <t>Grad Opatija</t>
  </si>
  <si>
    <t>Općina Matulji</t>
  </si>
  <si>
    <t>Općina Lovran</t>
  </si>
  <si>
    <t>Općina M.Draga</t>
  </si>
  <si>
    <t>Ukupno</t>
  </si>
  <si>
    <t>Ostale JLS</t>
  </si>
  <si>
    <t>Uredska oprema i namještaj:</t>
  </si>
  <si>
    <t xml:space="preserve">stolice za učionicu </t>
  </si>
  <si>
    <t>10 kom</t>
  </si>
  <si>
    <t>kut dnevni boravak</t>
  </si>
  <si>
    <t>1 kom</t>
  </si>
  <si>
    <t>računalo/printer</t>
  </si>
  <si>
    <t>Komunikacijska oprema:</t>
  </si>
  <si>
    <t>radiostanic</t>
  </si>
  <si>
    <t>Oprema za održavanje i zaštitu</t>
  </si>
  <si>
    <t>vatrog.armature za gašenje (mlaznice)</t>
  </si>
  <si>
    <t>3 kom</t>
  </si>
  <si>
    <t>mlaznice FI 25</t>
  </si>
  <si>
    <t>4 kom</t>
  </si>
  <si>
    <t>cijevi tlačne HA visokotlačne</t>
  </si>
  <si>
    <t>6 kom</t>
  </si>
  <si>
    <t xml:space="preserve">cijevi tlačne C visokotlačne </t>
  </si>
  <si>
    <t xml:space="preserve">cijevi tlačne D visokotlačne </t>
  </si>
  <si>
    <t xml:space="preserve">CFK boce </t>
  </si>
  <si>
    <t>5 kom</t>
  </si>
  <si>
    <t>prsne lampe</t>
  </si>
  <si>
    <t>prelaznice</t>
  </si>
  <si>
    <t>12 kom</t>
  </si>
  <si>
    <t>cijevi za Lukas aparat na OP-2</t>
  </si>
  <si>
    <t>kompl</t>
  </si>
  <si>
    <t>bušilica AKU</t>
  </si>
  <si>
    <t>lampe za interventn. Kacige</t>
  </si>
  <si>
    <t>ostalo</t>
  </si>
  <si>
    <t>Dodatno ulaganje na prijev. Sred</t>
  </si>
  <si>
    <t>sveukupno</t>
  </si>
  <si>
    <t>VATROGASNI DOM</t>
  </si>
  <si>
    <t>EU sredstva 85%</t>
  </si>
  <si>
    <t>vlastita 15%</t>
  </si>
  <si>
    <t>povrat kroz 10 godina</t>
  </si>
  <si>
    <t xml:space="preserve">FINANCIJSKI PLAN ZA 2023. GODINU PO IZVORIMA FINANCIRANJA - PRIJEDLOG </t>
  </si>
  <si>
    <t>Red.</t>
  </si>
  <si>
    <t>OPIS</t>
  </si>
  <si>
    <t>Učešće</t>
  </si>
  <si>
    <t>PLAN 2015.</t>
  </si>
  <si>
    <t xml:space="preserve">I. IZMJENE </t>
  </si>
  <si>
    <t>PRIJEDLOG</t>
  </si>
  <si>
    <t>RAZLIKA</t>
  </si>
  <si>
    <t>br.</t>
  </si>
  <si>
    <t>PLAN 2022.</t>
  </si>
  <si>
    <t>PLAN 2023.</t>
  </si>
  <si>
    <t>2023/2022</t>
  </si>
  <si>
    <t>1.</t>
  </si>
  <si>
    <t>Redovna djelatnost- minimalni standard</t>
  </si>
  <si>
    <t>Izvori financiranja</t>
  </si>
  <si>
    <t>Općina Mošćenička Draga</t>
  </si>
  <si>
    <t>2.</t>
  </si>
  <si>
    <t>Red.djel.- izvan minimalnog standarda</t>
  </si>
  <si>
    <t>vlastiti prihodi</t>
  </si>
  <si>
    <t>Donacija požarna sezona</t>
  </si>
  <si>
    <t>Vatrogasna zajednica PGŽ</t>
  </si>
  <si>
    <t>Ukupno za raspored na osnivače</t>
  </si>
  <si>
    <t>3.</t>
  </si>
  <si>
    <t>Kapitalna ulaganja</t>
  </si>
  <si>
    <t>3.1.</t>
  </si>
  <si>
    <t>Oprema (422)</t>
  </si>
  <si>
    <t>3.2.</t>
  </si>
  <si>
    <t>Projektna dokumentacija Vatrogasni dom</t>
  </si>
  <si>
    <t>3.3.</t>
  </si>
  <si>
    <t>Dodatno ulaganje na vatrogasnom vozilu</t>
  </si>
  <si>
    <t>3.4.</t>
  </si>
  <si>
    <t>Izdaci za financijsku imovinu</t>
  </si>
  <si>
    <t>3.5.</t>
  </si>
  <si>
    <t>Kamate za primljene zajmove od ostalih fin. Instit</t>
  </si>
  <si>
    <t>3.6.</t>
  </si>
  <si>
    <t>Izgradnja vatrogasnog centra, namjenska sredstva iz kredita</t>
  </si>
  <si>
    <t>3.7.</t>
  </si>
  <si>
    <t>izgradnja vatrogasnog centra, namjenska sredstva EU</t>
  </si>
  <si>
    <t>Ukupno kapitalna ulaganja</t>
  </si>
  <si>
    <t>donacije PVZ Liburnija</t>
  </si>
  <si>
    <t>namjenski kredit JVP</t>
  </si>
  <si>
    <t>namjenski sredstva pomoći EU</t>
  </si>
  <si>
    <t>Za raspored na osnivače kapitalna ulaganja</t>
  </si>
  <si>
    <t>Rekapitulacija</t>
  </si>
  <si>
    <t>Iznos financiranja za minimalne standarde utvrđen je Odlukom Vlade RH (NN 147/21)</t>
  </si>
  <si>
    <t>Izdvajanja bez decentraliziranih funkcija</t>
  </si>
  <si>
    <t>Opatija</t>
  </si>
  <si>
    <t>Matulji</t>
  </si>
  <si>
    <t>Lovran</t>
  </si>
  <si>
    <t>M.Draga</t>
  </si>
  <si>
    <t xml:space="preserve">FINANCIJSKI PLAN ZA 2023. GODINU PO IZVORIMA FINANCIRANJA u EUR - PRIJEDLOG </t>
  </si>
  <si>
    <t xml:space="preserve">1 EUR = </t>
  </si>
  <si>
    <t>7,53450</t>
  </si>
  <si>
    <t xml:space="preserve"> FINANCIJSKI PLAN ZA 2023. s projekcijama 2024.-2025. g. -usvojeno na 22. sjednici Vatrogasnog vijeća JVP Opatija dana 27. prosinca 2022.</t>
  </si>
  <si>
    <t>Plan 2023.       KN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</si>
</sst>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7030A0"/>
      <name val="Arial"/>
      <family val="2"/>
      <charset val="238"/>
    </font>
    <font>
      <u/>
      <sz val="8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theme="4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name val="Arial"/>
      <family val="2"/>
      <charset val="238"/>
    </font>
    <font>
      <i/>
      <sz val="8"/>
      <color rgb="FF7030A0"/>
      <name val="Arial"/>
      <family val="2"/>
      <charset val="238"/>
    </font>
    <font>
      <sz val="8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i/>
      <sz val="8"/>
      <color theme="9" tint="-0.499984740745262"/>
      <name val="Arial"/>
      <family val="2"/>
      <charset val="238"/>
    </font>
    <font>
      <b/>
      <sz val="8"/>
      <color theme="8"/>
      <name val="Arial"/>
      <family val="2"/>
      <charset val="238"/>
    </font>
    <font>
      <sz val="8"/>
      <color theme="8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sz val="8"/>
      <color theme="9" tint="-0.249977111117893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06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0" fontId="1" fillId="2" borderId="0" xfId="0" applyFont="1" applyFill="1"/>
    <xf numFmtId="3" fontId="6" fillId="3" borderId="0" xfId="0" applyNumberFormat="1" applyFont="1" applyFill="1"/>
    <xf numFmtId="3" fontId="6" fillId="3" borderId="1" xfId="0" applyNumberFormat="1" applyFont="1" applyFill="1" applyBorder="1"/>
    <xf numFmtId="0" fontId="6" fillId="4" borderId="1" xfId="0" applyFont="1" applyFill="1" applyBorder="1"/>
    <xf numFmtId="0" fontId="6" fillId="4" borderId="0" xfId="0" applyFont="1" applyFill="1"/>
    <xf numFmtId="3" fontId="1" fillId="2" borderId="0" xfId="0" applyNumberFormat="1" applyFont="1" applyFill="1"/>
    <xf numFmtId="0" fontId="6" fillId="5" borderId="1" xfId="0" applyFont="1" applyFill="1" applyBorder="1"/>
    <xf numFmtId="0" fontId="6" fillId="5" borderId="0" xfId="0" applyFont="1" applyFill="1"/>
    <xf numFmtId="4" fontId="6" fillId="5" borderId="0" xfId="0" applyNumberFormat="1" applyFont="1" applyFill="1"/>
    <xf numFmtId="3" fontId="6" fillId="5" borderId="0" xfId="0" applyNumberFormat="1" applyFont="1" applyFill="1"/>
    <xf numFmtId="0" fontId="6" fillId="2" borderId="0" xfId="0" applyFont="1" applyFill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4" fillId="0" borderId="4" xfId="0" applyNumberFormat="1" applyFont="1" applyBorder="1"/>
    <xf numFmtId="0" fontId="1" fillId="2" borderId="4" xfId="0" applyFont="1" applyFill="1" applyBorder="1"/>
    <xf numFmtId="0" fontId="1" fillId="0" borderId="7" xfId="0" applyFont="1" applyBorder="1"/>
    <xf numFmtId="0" fontId="1" fillId="0" borderId="3" xfId="0" applyFont="1" applyBorder="1"/>
    <xf numFmtId="0" fontId="6" fillId="0" borderId="8" xfId="0" quotePrefix="1" applyFont="1" applyBorder="1" applyAlignment="1">
      <alignment horizontal="center" vertical="justify" wrapText="1"/>
    </xf>
    <xf numFmtId="0" fontId="6" fillId="0" borderId="8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9" fillId="6" borderId="7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9" fillId="7" borderId="10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3" fontId="6" fillId="0" borderId="10" xfId="0" quotePrefix="1" applyNumberFormat="1" applyFont="1" applyBorder="1" applyAlignment="1">
      <alignment horizontal="center"/>
    </xf>
    <xf numFmtId="3" fontId="6" fillId="0" borderId="3" xfId="0" quotePrefix="1" applyNumberFormat="1" applyFont="1" applyBorder="1" applyAlignment="1">
      <alignment horizontal="center"/>
    </xf>
    <xf numFmtId="3" fontId="6" fillId="0" borderId="5" xfId="0" quotePrefix="1" applyNumberFormat="1" applyFont="1" applyBorder="1" applyAlignment="1">
      <alignment horizontal="center"/>
    </xf>
    <xf numFmtId="3" fontId="6" fillId="0" borderId="6" xfId="0" quotePrefix="1" applyNumberFormat="1" applyFont="1" applyBorder="1" applyAlignment="1">
      <alignment horizontal="center"/>
    </xf>
    <xf numFmtId="3" fontId="8" fillId="0" borderId="7" xfId="0" quotePrefix="1" applyNumberFormat="1" applyFont="1" applyBorder="1" applyAlignment="1">
      <alignment horizontal="center"/>
    </xf>
    <xf numFmtId="3" fontId="9" fillId="0" borderId="7" xfId="0" quotePrefix="1" applyNumberFormat="1" applyFont="1" applyBorder="1" applyAlignment="1">
      <alignment horizontal="center"/>
    </xf>
    <xf numFmtId="3" fontId="8" fillId="0" borderId="4" xfId="0" quotePrefix="1" applyNumberFormat="1" applyFont="1" applyBorder="1" applyAlignment="1">
      <alignment horizontal="center"/>
    </xf>
    <xf numFmtId="3" fontId="10" fillId="0" borderId="10" xfId="0" quotePrefix="1" applyNumberFormat="1" applyFont="1" applyBorder="1" applyAlignment="1">
      <alignment horizontal="center"/>
    </xf>
    <xf numFmtId="3" fontId="11" fillId="0" borderId="10" xfId="0" quotePrefix="1" applyNumberFormat="1" applyFont="1" applyBorder="1" applyAlignment="1">
      <alignment horizontal="center"/>
    </xf>
    <xf numFmtId="3" fontId="9" fillId="7" borderId="10" xfId="0" quotePrefix="1" applyNumberFormat="1" applyFont="1" applyFill="1" applyBorder="1" applyAlignment="1">
      <alignment horizontal="center"/>
    </xf>
    <xf numFmtId="3" fontId="6" fillId="2" borderId="10" xfId="0" quotePrefix="1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4" fontId="1" fillId="0" borderId="10" xfId="0" applyNumberFormat="1" applyFont="1" applyBorder="1"/>
    <xf numFmtId="4" fontId="1" fillId="2" borderId="10" xfId="0" applyNumberFormat="1" applyFont="1" applyFill="1" applyBorder="1"/>
    <xf numFmtId="3" fontId="1" fillId="2" borderId="8" xfId="0" applyNumberFormat="1" applyFont="1" applyFill="1" applyBorder="1"/>
    <xf numFmtId="3" fontId="1" fillId="2" borderId="6" xfId="0" applyNumberFormat="1" applyFont="1" applyFill="1" applyBorder="1"/>
    <xf numFmtId="3" fontId="2" fillId="2" borderId="7" xfId="0" applyNumberFormat="1" applyFont="1" applyFill="1" applyBorder="1"/>
    <xf numFmtId="3" fontId="4" fillId="0" borderId="7" xfId="0" applyNumberFormat="1" applyFont="1" applyBorder="1"/>
    <xf numFmtId="3" fontId="1" fillId="0" borderId="10" xfId="0" applyNumberFormat="1" applyFont="1" applyBorder="1"/>
    <xf numFmtId="3" fontId="2" fillId="0" borderId="4" xfId="0" applyNumberFormat="1" applyFont="1" applyBorder="1"/>
    <xf numFmtId="3" fontId="5" fillId="0" borderId="10" xfId="0" applyNumberFormat="1" applyFont="1" applyBorder="1"/>
    <xf numFmtId="3" fontId="4" fillId="7" borderId="10" xfId="0" applyNumberFormat="1" applyFont="1" applyFill="1" applyBorder="1"/>
    <xf numFmtId="3" fontId="1" fillId="2" borderId="10" xfId="0" applyNumberFormat="1" applyFont="1" applyFill="1" applyBorder="1"/>
    <xf numFmtId="3" fontId="1" fillId="0" borderId="3" xfId="0" applyNumberFormat="1" applyFont="1" applyBorder="1"/>
    <xf numFmtId="3" fontId="1" fillId="0" borderId="11" xfId="0" applyNumberFormat="1" applyFont="1" applyBorder="1"/>
    <xf numFmtId="3" fontId="2" fillId="0" borderId="7" xfId="0" applyNumberFormat="1" applyFont="1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>
      <alignment wrapText="1"/>
    </xf>
    <xf numFmtId="4" fontId="6" fillId="0" borderId="10" xfId="0" applyNumberFormat="1" applyFont="1" applyBorder="1"/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8" fillId="2" borderId="7" xfId="0" applyNumberFormat="1" applyFont="1" applyFill="1" applyBorder="1"/>
    <xf numFmtId="3" fontId="9" fillId="0" borderId="7" xfId="0" applyNumberFormat="1" applyFont="1" applyBorder="1"/>
    <xf numFmtId="3" fontId="6" fillId="0" borderId="10" xfId="0" applyNumberFormat="1" applyFont="1" applyBorder="1"/>
    <xf numFmtId="3" fontId="8" fillId="0" borderId="4" xfId="0" applyNumberFormat="1" applyFont="1" applyBorder="1"/>
    <xf numFmtId="3" fontId="10" fillId="0" borderId="10" xfId="0" applyNumberFormat="1" applyFont="1" applyBorder="1"/>
    <xf numFmtId="3" fontId="12" fillId="0" borderId="10" xfId="0" applyNumberFormat="1" applyFont="1" applyBorder="1"/>
    <xf numFmtId="3" fontId="9" fillId="7" borderId="10" xfId="0" applyNumberFormat="1" applyFont="1" applyFill="1" applyBorder="1"/>
    <xf numFmtId="3" fontId="6" fillId="2" borderId="10" xfId="0" applyNumberFormat="1" applyFont="1" applyFill="1" applyBorder="1"/>
    <xf numFmtId="3" fontId="6" fillId="2" borderId="3" xfId="0" applyNumberFormat="1" applyFont="1" applyFill="1" applyBorder="1"/>
    <xf numFmtId="0" fontId="1" fillId="0" borderId="11" xfId="0" applyFont="1" applyBorder="1"/>
    <xf numFmtId="3" fontId="8" fillId="0" borderId="7" xfId="0" applyNumberFormat="1" applyFont="1" applyBorder="1"/>
    <xf numFmtId="0" fontId="1" fillId="0" borderId="8" xfId="0" applyFont="1" applyBorder="1" applyAlignment="1">
      <alignment horizontal="left" wrapText="1"/>
    </xf>
    <xf numFmtId="3" fontId="11" fillId="0" borderId="10" xfId="0" applyNumberFormat="1" applyFont="1" applyBorder="1"/>
    <xf numFmtId="3" fontId="6" fillId="0" borderId="3" xfId="0" applyNumberFormat="1" applyFont="1" applyBorder="1"/>
    <xf numFmtId="3" fontId="13" fillId="0" borderId="10" xfId="0" applyNumberFormat="1" applyFont="1" applyBorder="1"/>
    <xf numFmtId="3" fontId="1" fillId="2" borderId="3" xfId="0" applyNumberFormat="1" applyFont="1" applyFill="1" applyBorder="1"/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wrapText="1"/>
    </xf>
    <xf numFmtId="4" fontId="6" fillId="0" borderId="13" xfId="0" applyNumberFormat="1" applyFont="1" applyBorder="1"/>
    <xf numFmtId="3" fontId="6" fillId="2" borderId="12" xfId="0" applyNumberFormat="1" applyFont="1" applyFill="1" applyBorder="1"/>
    <xf numFmtId="3" fontId="6" fillId="2" borderId="14" xfId="0" applyNumberFormat="1" applyFont="1" applyFill="1" applyBorder="1"/>
    <xf numFmtId="3" fontId="8" fillId="2" borderId="15" xfId="0" applyNumberFormat="1" applyFont="1" applyFill="1" applyBorder="1"/>
    <xf numFmtId="3" fontId="9" fillId="0" borderId="15" xfId="0" applyNumberFormat="1" applyFont="1" applyBorder="1"/>
    <xf numFmtId="3" fontId="6" fillId="0" borderId="13" xfId="0" applyNumberFormat="1" applyFont="1" applyBorder="1"/>
    <xf numFmtId="3" fontId="8" fillId="0" borderId="16" xfId="0" applyNumberFormat="1" applyFont="1" applyBorder="1"/>
    <xf numFmtId="3" fontId="10" fillId="0" borderId="13" xfId="0" applyNumberFormat="1" applyFont="1" applyBorder="1"/>
    <xf numFmtId="3" fontId="11" fillId="0" borderId="13" xfId="0" applyNumberFormat="1" applyFont="1" applyBorder="1"/>
    <xf numFmtId="3" fontId="9" fillId="7" borderId="13" xfId="0" applyNumberFormat="1" applyFont="1" applyFill="1" applyBorder="1"/>
    <xf numFmtId="3" fontId="6" fillId="2" borderId="13" xfId="0" applyNumberFormat="1" applyFont="1" applyFill="1" applyBorder="1"/>
    <xf numFmtId="3" fontId="6" fillId="0" borderId="17" xfId="0" applyNumberFormat="1" applyFont="1" applyBorder="1"/>
    <xf numFmtId="0" fontId="1" fillId="0" borderId="18" xfId="0" applyFont="1" applyBorder="1"/>
    <xf numFmtId="3" fontId="2" fillId="0" borderId="15" xfId="0" applyNumberFormat="1" applyFont="1" applyBorder="1"/>
    <xf numFmtId="0" fontId="12" fillId="0" borderId="19" xfId="0" applyFont="1" applyBorder="1"/>
    <xf numFmtId="4" fontId="6" fillId="0" borderId="20" xfId="0" applyNumberFormat="1" applyFont="1" applyBorder="1"/>
    <xf numFmtId="3" fontId="6" fillId="2" borderId="19" xfId="0" applyNumberFormat="1" applyFont="1" applyFill="1" applyBorder="1"/>
    <xf numFmtId="3" fontId="6" fillId="2" borderId="21" xfId="0" applyNumberFormat="1" applyFont="1" applyFill="1" applyBorder="1"/>
    <xf numFmtId="3" fontId="8" fillId="2" borderId="22" xfId="0" applyNumberFormat="1" applyFont="1" applyFill="1" applyBorder="1"/>
    <xf numFmtId="3" fontId="9" fillId="0" borderId="22" xfId="0" applyNumberFormat="1" applyFont="1" applyBorder="1"/>
    <xf numFmtId="3" fontId="6" fillId="0" borderId="20" xfId="0" applyNumberFormat="1" applyFont="1" applyBorder="1"/>
    <xf numFmtId="3" fontId="8" fillId="0" borderId="23" xfId="0" applyNumberFormat="1" applyFont="1" applyBorder="1"/>
    <xf numFmtId="3" fontId="10" fillId="0" borderId="20" xfId="0" applyNumberFormat="1" applyFont="1" applyBorder="1"/>
    <xf numFmtId="3" fontId="11" fillId="0" borderId="20" xfId="0" applyNumberFormat="1" applyFont="1" applyBorder="1"/>
    <xf numFmtId="3" fontId="9" fillId="7" borderId="24" xfId="0" applyNumberFormat="1" applyFont="1" applyFill="1" applyBorder="1"/>
    <xf numFmtId="3" fontId="6" fillId="2" borderId="20" xfId="0" applyNumberFormat="1" applyFont="1" applyFill="1" applyBorder="1"/>
    <xf numFmtId="3" fontId="6" fillId="2" borderId="24" xfId="0" applyNumberFormat="1" applyFont="1" applyFill="1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wrapText="1"/>
    </xf>
    <xf numFmtId="4" fontId="1" fillId="0" borderId="9" xfId="0" applyNumberFormat="1" applyFont="1" applyBorder="1"/>
    <xf numFmtId="3" fontId="1" fillId="2" borderId="26" xfId="0" applyNumberFormat="1" applyFont="1" applyFill="1" applyBorder="1"/>
    <xf numFmtId="3" fontId="2" fillId="2" borderId="27" xfId="0" applyNumberFormat="1" applyFont="1" applyFill="1" applyBorder="1"/>
    <xf numFmtId="3" fontId="4" fillId="0" borderId="27" xfId="0" applyNumberFormat="1" applyFont="1" applyBorder="1"/>
    <xf numFmtId="3" fontId="1" fillId="0" borderId="9" xfId="0" applyNumberFormat="1" applyFont="1" applyBorder="1"/>
    <xf numFmtId="3" fontId="2" fillId="0" borderId="28" xfId="0" applyNumberFormat="1" applyFont="1" applyBorder="1"/>
    <xf numFmtId="3" fontId="5" fillId="0" borderId="9" xfId="0" applyNumberFormat="1" applyFont="1" applyBorder="1"/>
    <xf numFmtId="3" fontId="13" fillId="0" borderId="9" xfId="0" applyNumberFormat="1" applyFont="1" applyBorder="1"/>
    <xf numFmtId="3" fontId="1" fillId="2" borderId="9" xfId="0" applyNumberFormat="1" applyFont="1" applyFill="1" applyBorder="1"/>
    <xf numFmtId="3" fontId="1" fillId="0" borderId="29" xfId="0" applyNumberFormat="1" applyFont="1" applyBorder="1"/>
    <xf numFmtId="0" fontId="1" fillId="0" borderId="30" xfId="0" applyFont="1" applyBorder="1"/>
    <xf numFmtId="3" fontId="2" fillId="0" borderId="27" xfId="0" applyNumberFormat="1" applyFont="1" applyBorder="1"/>
    <xf numFmtId="3" fontId="1" fillId="0" borderId="8" xfId="0" applyNumberFormat="1" applyFont="1" applyBorder="1"/>
    <xf numFmtId="3" fontId="6" fillId="0" borderId="8" xfId="0" applyNumberFormat="1" applyFont="1" applyBorder="1"/>
    <xf numFmtId="3" fontId="6" fillId="0" borderId="6" xfId="0" applyNumberFormat="1" applyFont="1" applyBorder="1"/>
    <xf numFmtId="3" fontId="4" fillId="2" borderId="7" xfId="0" applyNumberFormat="1" applyFont="1" applyFill="1" applyBorder="1"/>
    <xf numFmtId="0" fontId="12" fillId="0" borderId="8" xfId="0" applyFont="1" applyBorder="1" applyAlignment="1">
      <alignment horizontal="left" wrapText="1"/>
    </xf>
    <xf numFmtId="1" fontId="1" fillId="0" borderId="8" xfId="0" quotePrefix="1" applyNumberFormat="1" applyFont="1" applyBorder="1" applyAlignment="1">
      <alignment horizontal="center"/>
    </xf>
    <xf numFmtId="1" fontId="12" fillId="0" borderId="12" xfId="0" quotePrefix="1" applyNumberFormat="1" applyFont="1" applyBorder="1" applyAlignment="1">
      <alignment horizontal="center"/>
    </xf>
    <xf numFmtId="3" fontId="6" fillId="0" borderId="12" xfId="0" applyNumberFormat="1" applyFont="1" applyBorder="1"/>
    <xf numFmtId="3" fontId="6" fillId="0" borderId="14" xfId="0" applyNumberFormat="1" applyFont="1" applyBorder="1"/>
    <xf numFmtId="3" fontId="8" fillId="0" borderId="15" xfId="0" applyNumberFormat="1" applyFont="1" applyBorder="1"/>
    <xf numFmtId="3" fontId="6" fillId="2" borderId="17" xfId="0" applyNumberFormat="1" applyFont="1" applyFill="1" applyBorder="1"/>
    <xf numFmtId="1" fontId="12" fillId="0" borderId="19" xfId="0" quotePrefix="1" applyNumberFormat="1" applyFont="1" applyBorder="1" applyAlignment="1">
      <alignment horizontal="center"/>
    </xf>
    <xf numFmtId="0" fontId="12" fillId="0" borderId="19" xfId="0" applyFont="1" applyBorder="1" applyAlignment="1">
      <alignment wrapText="1"/>
    </xf>
    <xf numFmtId="3" fontId="6" fillId="0" borderId="19" xfId="0" applyNumberFormat="1" applyFont="1" applyBorder="1"/>
    <xf numFmtId="3" fontId="6" fillId="0" borderId="21" xfId="0" applyNumberFormat="1" applyFont="1" applyBorder="1"/>
    <xf numFmtId="3" fontId="8" fillId="0" borderId="22" xfId="0" applyNumberFormat="1" applyFont="1" applyBorder="1"/>
    <xf numFmtId="3" fontId="9" fillId="7" borderId="20" xfId="0" applyNumberFormat="1" applyFont="1" applyFill="1" applyBorder="1"/>
    <xf numFmtId="1" fontId="1" fillId="0" borderId="26" xfId="0" quotePrefix="1" applyNumberFormat="1" applyFont="1" applyBorder="1" applyAlignment="1">
      <alignment horizontal="center"/>
    </xf>
    <xf numFmtId="4" fontId="1" fillId="0" borderId="20" xfId="0" applyNumberFormat="1" applyFont="1" applyBorder="1"/>
    <xf numFmtId="3" fontId="1" fillId="0" borderId="6" xfId="0" applyNumberFormat="1" applyFont="1" applyBorder="1"/>
    <xf numFmtId="3" fontId="4" fillId="7" borderId="9" xfId="0" applyNumberFormat="1" applyFont="1" applyFill="1" applyBorder="1"/>
    <xf numFmtId="3" fontId="2" fillId="0" borderId="22" xfId="0" applyNumberFormat="1" applyFont="1" applyBorder="1"/>
    <xf numFmtId="0" fontId="6" fillId="8" borderId="19" xfId="0" applyFont="1" applyFill="1" applyBorder="1" applyAlignment="1">
      <alignment horizontal="center"/>
    </xf>
    <xf numFmtId="0" fontId="6" fillId="8" borderId="19" xfId="0" applyFont="1" applyFill="1" applyBorder="1" applyAlignment="1">
      <alignment wrapText="1"/>
    </xf>
    <xf numFmtId="4" fontId="6" fillId="8" borderId="20" xfId="0" applyNumberFormat="1" applyFont="1" applyFill="1" applyBorder="1"/>
    <xf numFmtId="3" fontId="6" fillId="8" borderId="19" xfId="0" applyNumberFormat="1" applyFont="1" applyFill="1" applyBorder="1"/>
    <xf numFmtId="3" fontId="6" fillId="8" borderId="21" xfId="0" applyNumberFormat="1" applyFont="1" applyFill="1" applyBorder="1"/>
    <xf numFmtId="3" fontId="8" fillId="8" borderId="22" xfId="0" applyNumberFormat="1" applyFont="1" applyFill="1" applyBorder="1"/>
    <xf numFmtId="3" fontId="9" fillId="8" borderId="22" xfId="0" applyNumberFormat="1" applyFont="1" applyFill="1" applyBorder="1"/>
    <xf numFmtId="3" fontId="6" fillId="8" borderId="20" xfId="0" applyNumberFormat="1" applyFont="1" applyFill="1" applyBorder="1"/>
    <xf numFmtId="3" fontId="8" fillId="8" borderId="23" xfId="0" applyNumberFormat="1" applyFont="1" applyFill="1" applyBorder="1"/>
    <xf numFmtId="3" fontId="10" fillId="8" borderId="20" xfId="0" applyNumberFormat="1" applyFont="1" applyFill="1" applyBorder="1"/>
    <xf numFmtId="3" fontId="11" fillId="8" borderId="20" xfId="0" applyNumberFormat="1" applyFont="1" applyFill="1" applyBorder="1"/>
    <xf numFmtId="3" fontId="6" fillId="7" borderId="20" xfId="0" applyNumberFormat="1" applyFont="1" applyFill="1" applyBorder="1"/>
    <xf numFmtId="3" fontId="6" fillId="7" borderId="24" xfId="0" applyNumberFormat="1" applyFont="1" applyFill="1" applyBorder="1"/>
    <xf numFmtId="0" fontId="1" fillId="8" borderId="25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31" xfId="0" applyNumberFormat="1" applyFont="1" applyBorder="1"/>
    <xf numFmtId="3" fontId="1" fillId="0" borderId="1" xfId="0" applyNumberFormat="1" applyFont="1" applyBorder="1"/>
    <xf numFmtId="3" fontId="2" fillId="0" borderId="32" xfId="0" applyNumberFormat="1" applyFont="1" applyBorder="1"/>
    <xf numFmtId="3" fontId="4" fillId="0" borderId="32" xfId="0" applyNumberFormat="1" applyFont="1" applyBorder="1"/>
    <xf numFmtId="3" fontId="1" fillId="0" borderId="33" xfId="0" applyNumberFormat="1" applyFont="1" applyBorder="1"/>
    <xf numFmtId="3" fontId="2" fillId="0" borderId="33" xfId="0" applyNumberFormat="1" applyFont="1" applyBorder="1"/>
    <xf numFmtId="3" fontId="5" fillId="0" borderId="31" xfId="0" applyNumberFormat="1" applyFont="1" applyBorder="1"/>
    <xf numFmtId="3" fontId="1" fillId="0" borderId="31" xfId="0" applyNumberFormat="1" applyFont="1" applyBorder="1"/>
    <xf numFmtId="3" fontId="1" fillId="2" borderId="31" xfId="0" applyNumberFormat="1" applyFont="1" applyFill="1" applyBorder="1"/>
    <xf numFmtId="3" fontId="1" fillId="0" borderId="34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3" fontId="2" fillId="0" borderId="10" xfId="0" applyNumberFormat="1" applyFont="1" applyBorder="1"/>
    <xf numFmtId="4" fontId="1" fillId="0" borderId="13" xfId="0" applyNumberFormat="1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3" fontId="1" fillId="2" borderId="12" xfId="0" applyNumberFormat="1" applyFont="1" applyFill="1" applyBorder="1"/>
    <xf numFmtId="3" fontId="2" fillId="2" borderId="15" xfId="0" applyNumberFormat="1" applyFont="1" applyFill="1" applyBorder="1"/>
    <xf numFmtId="3" fontId="1" fillId="2" borderId="13" xfId="0" applyNumberFormat="1" applyFont="1" applyFill="1" applyBorder="1"/>
    <xf numFmtId="0" fontId="6" fillId="9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wrapText="1"/>
    </xf>
    <xf numFmtId="4" fontId="6" fillId="9" borderId="10" xfId="0" applyNumberFormat="1" applyFont="1" applyFill="1" applyBorder="1"/>
    <xf numFmtId="4" fontId="6" fillId="9" borderId="13" xfId="0" applyNumberFormat="1" applyFont="1" applyFill="1" applyBorder="1"/>
    <xf numFmtId="3" fontId="6" fillId="9" borderId="12" xfId="0" applyNumberFormat="1" applyFont="1" applyFill="1" applyBorder="1"/>
    <xf numFmtId="3" fontId="6" fillId="9" borderId="14" xfId="0" applyNumberFormat="1" applyFont="1" applyFill="1" applyBorder="1"/>
    <xf numFmtId="3" fontId="8" fillId="9" borderId="15" xfId="0" applyNumberFormat="1" applyFont="1" applyFill="1" applyBorder="1"/>
    <xf numFmtId="3" fontId="9" fillId="9" borderId="15" xfId="0" applyNumberFormat="1" applyFont="1" applyFill="1" applyBorder="1"/>
    <xf numFmtId="3" fontId="6" fillId="9" borderId="13" xfId="0" applyNumberFormat="1" applyFont="1" applyFill="1" applyBorder="1"/>
    <xf numFmtId="3" fontId="8" fillId="9" borderId="16" xfId="0" applyNumberFormat="1" applyFont="1" applyFill="1" applyBorder="1"/>
    <xf numFmtId="3" fontId="10" fillId="9" borderId="13" xfId="0" applyNumberFormat="1" applyFont="1" applyFill="1" applyBorder="1"/>
    <xf numFmtId="3" fontId="11" fillId="9" borderId="13" xfId="0" applyNumberFormat="1" applyFont="1" applyFill="1" applyBorder="1"/>
    <xf numFmtId="3" fontId="9" fillId="9" borderId="10" xfId="0" applyNumberFormat="1" applyFont="1" applyFill="1" applyBorder="1"/>
    <xf numFmtId="3" fontId="6" fillId="9" borderId="10" xfId="0" applyNumberFormat="1" applyFont="1" applyFill="1" applyBorder="1"/>
    <xf numFmtId="3" fontId="6" fillId="9" borderId="3" xfId="0" applyNumberFormat="1" applyFont="1" applyFill="1" applyBorder="1"/>
    <xf numFmtId="0" fontId="1" fillId="9" borderId="11" xfId="0" applyFont="1" applyFill="1" applyBorder="1"/>
    <xf numFmtId="3" fontId="8" fillId="9" borderId="7" xfId="0" applyNumberFormat="1" applyFont="1" applyFill="1" applyBorder="1"/>
    <xf numFmtId="0" fontId="1" fillId="0" borderId="5" xfId="0" applyFont="1" applyBorder="1" applyAlignment="1">
      <alignment wrapText="1"/>
    </xf>
    <xf numFmtId="3" fontId="2" fillId="2" borderId="10" xfId="0" applyNumberFormat="1" applyFont="1" applyFill="1" applyBorder="1"/>
    <xf numFmtId="0" fontId="6" fillId="9" borderId="1" xfId="0" applyFont="1" applyFill="1" applyBorder="1" applyAlignment="1">
      <alignment horizontal="center"/>
    </xf>
    <xf numFmtId="0" fontId="6" fillId="9" borderId="35" xfId="0" applyFont="1" applyFill="1" applyBorder="1" applyAlignment="1">
      <alignment vertical="center" wrapText="1"/>
    </xf>
    <xf numFmtId="3" fontId="8" fillId="9" borderId="13" xfId="0" applyNumberFormat="1" applyFont="1" applyFill="1" applyBorder="1"/>
    <xf numFmtId="3" fontId="11" fillId="9" borderId="17" xfId="0" applyNumberFormat="1" applyFont="1" applyFill="1" applyBorder="1"/>
    <xf numFmtId="0" fontId="6" fillId="8" borderId="36" xfId="0" applyFont="1" applyFill="1" applyBorder="1" applyAlignment="1">
      <alignment horizontal="center"/>
    </xf>
    <xf numFmtId="0" fontId="6" fillId="8" borderId="37" xfId="0" applyFont="1" applyFill="1" applyBorder="1" applyAlignment="1">
      <alignment vertical="center" wrapText="1"/>
    </xf>
    <xf numFmtId="4" fontId="6" fillId="8" borderId="37" xfId="0" applyNumberFormat="1" applyFont="1" applyFill="1" applyBorder="1"/>
    <xf numFmtId="3" fontId="6" fillId="8" borderId="38" xfId="0" applyNumberFormat="1" applyFont="1" applyFill="1" applyBorder="1"/>
    <xf numFmtId="3" fontId="6" fillId="8" borderId="39" xfId="0" applyNumberFormat="1" applyFont="1" applyFill="1" applyBorder="1"/>
    <xf numFmtId="3" fontId="8" fillId="8" borderId="40" xfId="0" applyNumberFormat="1" applyFont="1" applyFill="1" applyBorder="1"/>
    <xf numFmtId="3" fontId="9" fillId="8" borderId="40" xfId="0" applyNumberFormat="1" applyFont="1" applyFill="1" applyBorder="1"/>
    <xf numFmtId="3" fontId="6" fillId="8" borderId="37" xfId="0" applyNumberFormat="1" applyFont="1" applyFill="1" applyBorder="1"/>
    <xf numFmtId="3" fontId="8" fillId="8" borderId="37" xfId="0" applyNumberFormat="1" applyFont="1" applyFill="1" applyBorder="1"/>
    <xf numFmtId="3" fontId="10" fillId="8" borderId="37" xfId="0" applyNumberFormat="1" applyFont="1" applyFill="1" applyBorder="1"/>
    <xf numFmtId="3" fontId="11" fillId="8" borderId="41" xfId="0" applyNumberFormat="1" applyFont="1" applyFill="1" applyBorder="1"/>
    <xf numFmtId="3" fontId="9" fillId="8" borderId="37" xfId="0" applyNumberFormat="1" applyFont="1" applyFill="1" applyBorder="1"/>
    <xf numFmtId="3" fontId="6" fillId="8" borderId="41" xfId="0" applyNumberFormat="1" applyFont="1" applyFill="1" applyBorder="1"/>
    <xf numFmtId="1" fontId="1" fillId="8" borderId="19" xfId="0" quotePrefix="1" applyNumberFormat="1" applyFont="1" applyFill="1" applyBorder="1" applyAlignment="1">
      <alignment horizontal="center"/>
    </xf>
    <xf numFmtId="4" fontId="6" fillId="8" borderId="20" xfId="0" applyNumberFormat="1" applyFont="1" applyFill="1" applyBorder="1" applyAlignment="1">
      <alignment horizontal="right" wrapText="1"/>
    </xf>
    <xf numFmtId="3" fontId="6" fillId="8" borderId="19" xfId="0" applyNumberFormat="1" applyFont="1" applyFill="1" applyBorder="1" applyAlignment="1">
      <alignment horizontal="right" wrapText="1"/>
    </xf>
    <xf numFmtId="3" fontId="6" fillId="8" borderId="21" xfId="0" applyNumberFormat="1" applyFont="1" applyFill="1" applyBorder="1" applyAlignment="1">
      <alignment horizontal="right" wrapText="1"/>
    </xf>
    <xf numFmtId="3" fontId="8" fillId="8" borderId="22" xfId="0" applyNumberFormat="1" applyFont="1" applyFill="1" applyBorder="1" applyAlignment="1">
      <alignment horizontal="right" wrapText="1"/>
    </xf>
    <xf numFmtId="3" fontId="8" fillId="8" borderId="20" xfId="0" applyNumberFormat="1" applyFont="1" applyFill="1" applyBorder="1"/>
    <xf numFmtId="3" fontId="11" fillId="8" borderId="24" xfId="0" applyNumberFormat="1" applyFont="1" applyFill="1" applyBorder="1"/>
    <xf numFmtId="3" fontId="9" fillId="8" borderId="20" xfId="0" applyNumberFormat="1" applyFont="1" applyFill="1" applyBorder="1"/>
    <xf numFmtId="3" fontId="6" fillId="8" borderId="24" xfId="0" applyNumberFormat="1" applyFont="1" applyFill="1" applyBorder="1"/>
    <xf numFmtId="1" fontId="6" fillId="10" borderId="1" xfId="0" quotePrefix="1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wrapText="1"/>
    </xf>
    <xf numFmtId="4" fontId="6" fillId="10" borderId="31" xfId="0" applyNumberFormat="1" applyFont="1" applyFill="1" applyBorder="1"/>
    <xf numFmtId="4" fontId="11" fillId="10" borderId="31" xfId="0" applyNumberFormat="1" applyFont="1" applyFill="1" applyBorder="1"/>
    <xf numFmtId="3" fontId="6" fillId="10" borderId="1" xfId="0" applyNumberFormat="1" applyFont="1" applyFill="1" applyBorder="1"/>
    <xf numFmtId="3" fontId="6" fillId="10" borderId="42" xfId="0" applyNumberFormat="1" applyFont="1" applyFill="1" applyBorder="1"/>
    <xf numFmtId="3" fontId="8" fillId="10" borderId="32" xfId="0" applyNumberFormat="1" applyFont="1" applyFill="1" applyBorder="1"/>
    <xf numFmtId="3" fontId="9" fillId="10" borderId="32" xfId="0" applyNumberFormat="1" applyFont="1" applyFill="1" applyBorder="1"/>
    <xf numFmtId="3" fontId="6" fillId="10" borderId="31" xfId="0" applyNumberFormat="1" applyFont="1" applyFill="1" applyBorder="1"/>
    <xf numFmtId="3" fontId="8" fillId="10" borderId="0" xfId="0" applyNumberFormat="1" applyFont="1" applyFill="1"/>
    <xf numFmtId="3" fontId="10" fillId="10" borderId="31" xfId="0" applyNumberFormat="1" applyFont="1" applyFill="1" applyBorder="1"/>
    <xf numFmtId="3" fontId="11" fillId="10" borderId="43" xfId="0" applyNumberFormat="1" applyFont="1" applyFill="1" applyBorder="1"/>
    <xf numFmtId="3" fontId="9" fillId="10" borderId="20" xfId="0" applyNumberFormat="1" applyFont="1" applyFill="1" applyBorder="1"/>
    <xf numFmtId="3" fontId="6" fillId="10" borderId="20" xfId="0" applyNumberFormat="1" applyFont="1" applyFill="1" applyBorder="1"/>
    <xf numFmtId="3" fontId="6" fillId="10" borderId="24" xfId="0" applyNumberFormat="1" applyFont="1" applyFill="1" applyBorder="1"/>
    <xf numFmtId="0" fontId="1" fillId="10" borderId="25" xfId="0" applyFont="1" applyFill="1" applyBorder="1"/>
    <xf numFmtId="3" fontId="2" fillId="10" borderId="22" xfId="0" applyNumberFormat="1" applyFont="1" applyFill="1" applyBorder="1"/>
    <xf numFmtId="4" fontId="2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14" fillId="0" borderId="0" xfId="0" applyFont="1"/>
    <xf numFmtId="0" fontId="9" fillId="2" borderId="0" xfId="0" applyFont="1" applyFill="1"/>
    <xf numFmtId="4" fontId="9" fillId="0" borderId="0" xfId="0" applyNumberFormat="1" applyFont="1"/>
    <xf numFmtId="3" fontId="6" fillId="0" borderId="0" xfId="0" applyNumberFormat="1" applyFont="1"/>
    <xf numFmtId="3" fontId="15" fillId="0" borderId="0" xfId="0" applyNumberFormat="1" applyFont="1"/>
    <xf numFmtId="3" fontId="9" fillId="0" borderId="0" xfId="0" applyNumberFormat="1" applyFont="1"/>
    <xf numFmtId="0" fontId="6" fillId="2" borderId="0" xfId="0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/>
    <xf numFmtId="4" fontId="16" fillId="0" borderId="0" xfId="0" applyNumberFormat="1" applyFont="1"/>
    <xf numFmtId="4" fontId="6" fillId="0" borderId="0" xfId="0" applyNumberFormat="1" applyFont="1"/>
    <xf numFmtId="3" fontId="16" fillId="0" borderId="0" xfId="0" applyNumberFormat="1" applyFont="1"/>
    <xf numFmtId="3" fontId="10" fillId="0" borderId="0" xfId="0" applyNumberFormat="1" applyFont="1"/>
    <xf numFmtId="0" fontId="8" fillId="0" borderId="0" xfId="1" applyFont="1" applyAlignment="1">
      <alignment horizontal="left" wrapText="1"/>
    </xf>
    <xf numFmtId="4" fontId="6" fillId="0" borderId="0" xfId="1" applyNumberFormat="1" applyFont="1"/>
    <xf numFmtId="3" fontId="11" fillId="0" borderId="0" xfId="1" applyNumberFormat="1" applyFont="1"/>
    <xf numFmtId="3" fontId="6" fillId="0" borderId="0" xfId="1" applyNumberFormat="1" applyFont="1"/>
    <xf numFmtId="0" fontId="12" fillId="0" borderId="0" xfId="0" applyFont="1"/>
    <xf numFmtId="0" fontId="1" fillId="0" borderId="0" xfId="1" applyFont="1" applyAlignment="1">
      <alignment horizontal="left" wrapText="1"/>
    </xf>
    <xf numFmtId="4" fontId="1" fillId="0" borderId="0" xfId="1" applyNumberFormat="1" applyFont="1"/>
    <xf numFmtId="3" fontId="1" fillId="0" borderId="0" xfId="1" applyNumberFormat="1" applyFont="1"/>
    <xf numFmtId="0" fontId="13" fillId="0" borderId="0" xfId="0" applyFont="1"/>
    <xf numFmtId="3" fontId="13" fillId="0" borderId="0" xfId="0" applyNumberFormat="1" applyFont="1"/>
    <xf numFmtId="4" fontId="8" fillId="0" borderId="0" xfId="1" applyNumberFormat="1" applyFont="1"/>
    <xf numFmtId="0" fontId="18" fillId="0" borderId="0" xfId="1" applyFont="1" applyAlignment="1">
      <alignment horizontal="left" wrapText="1"/>
    </xf>
    <xf numFmtId="4" fontId="18" fillId="0" borderId="0" xfId="1" applyNumberFormat="1" applyFont="1"/>
    <xf numFmtId="0" fontId="8" fillId="0" borderId="0" xfId="0" applyFont="1"/>
    <xf numFmtId="3" fontId="19" fillId="0" borderId="0" xfId="0" applyNumberFormat="1" applyFont="1"/>
    <xf numFmtId="0" fontId="19" fillId="0" borderId="0" xfId="0" applyFont="1"/>
    <xf numFmtId="0" fontId="20" fillId="0" borderId="0" xfId="0" applyFont="1"/>
    <xf numFmtId="0" fontId="1" fillId="0" borderId="0" xfId="1" applyFont="1" applyAlignment="1">
      <alignment wrapText="1"/>
    </xf>
    <xf numFmtId="0" fontId="1" fillId="0" borderId="0" xfId="1" applyFont="1"/>
    <xf numFmtId="3" fontId="21" fillId="0" borderId="0" xfId="0" applyNumberFormat="1" applyFont="1"/>
    <xf numFmtId="0" fontId="6" fillId="0" borderId="0" xfId="1" applyFont="1"/>
    <xf numFmtId="0" fontId="8" fillId="0" borderId="0" xfId="1" applyFont="1"/>
    <xf numFmtId="4" fontId="22" fillId="0" borderId="0" xfId="0" applyNumberFormat="1" applyFont="1"/>
    <xf numFmtId="4" fontId="6" fillId="2" borderId="0" xfId="0" applyNumberFormat="1" applyFont="1" applyFill="1"/>
    <xf numFmtId="0" fontId="1" fillId="0" borderId="0" xfId="0" applyFont="1" applyAlignment="1">
      <alignment horizontal="left" vertical="center" indent="1"/>
    </xf>
    <xf numFmtId="4" fontId="19" fillId="0" borderId="0" xfId="0" applyNumberFormat="1" applyFont="1"/>
    <xf numFmtId="0" fontId="23" fillId="0" borderId="0" xfId="0" applyFont="1"/>
    <xf numFmtId="3" fontId="24" fillId="0" borderId="0" xfId="0" applyNumberFormat="1" applyFont="1"/>
    <xf numFmtId="0" fontId="2" fillId="0" borderId="0" xfId="0" applyFont="1" applyAlignment="1">
      <alignment vertical="center"/>
    </xf>
    <xf numFmtId="4" fontId="8" fillId="0" borderId="0" xfId="0" applyNumberFormat="1" applyFont="1"/>
    <xf numFmtId="0" fontId="11" fillId="0" borderId="0" xfId="0" applyFont="1"/>
    <xf numFmtId="1" fontId="13" fillId="0" borderId="0" xfId="0" applyNumberFormat="1" applyFont="1"/>
    <xf numFmtId="4" fontId="13" fillId="0" borderId="0" xfId="0" applyNumberFormat="1" applyFont="1"/>
    <xf numFmtId="0" fontId="13" fillId="0" borderId="0" xfId="0" applyFont="1" applyAlignment="1">
      <alignment horizontal="left" vertical="center" indent="1"/>
    </xf>
    <xf numFmtId="1" fontId="11" fillId="0" borderId="0" xfId="0" applyNumberFormat="1" applyFont="1"/>
    <xf numFmtId="3" fontId="25" fillId="0" borderId="0" xfId="0" applyNumberFormat="1" applyFont="1"/>
    <xf numFmtId="3" fontId="26" fillId="0" borderId="0" xfId="0" applyNumberFormat="1" applyFont="1"/>
    <xf numFmtId="4" fontId="11" fillId="2" borderId="0" xfId="0" applyNumberFormat="1" applyFont="1" applyFill="1"/>
    <xf numFmtId="4" fontId="1" fillId="2" borderId="0" xfId="0" applyNumberFormat="1" applyFont="1" applyFill="1"/>
    <xf numFmtId="1" fontId="27" fillId="0" borderId="0" xfId="0" applyNumberFormat="1" applyFont="1"/>
    <xf numFmtId="4" fontId="28" fillId="0" borderId="0" xfId="0" applyNumberFormat="1" applyFont="1"/>
    <xf numFmtId="3" fontId="29" fillId="0" borderId="0" xfId="0" applyNumberFormat="1" applyFont="1"/>
    <xf numFmtId="3" fontId="5" fillId="2" borderId="0" xfId="0" applyNumberFormat="1" applyFont="1" applyFill="1"/>
    <xf numFmtId="4" fontId="11" fillId="0" borderId="0" xfId="0" applyNumberFormat="1" applyFont="1"/>
    <xf numFmtId="1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30" fillId="0" borderId="0" xfId="0" applyNumberFormat="1" applyFont="1"/>
    <xf numFmtId="4" fontId="31" fillId="0" borderId="0" xfId="0" applyNumberFormat="1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11" borderId="45" xfId="0" applyFont="1" applyFill="1" applyBorder="1" applyAlignment="1">
      <alignment horizontal="center"/>
    </xf>
    <xf numFmtId="0" fontId="6" fillId="12" borderId="45" xfId="0" applyFont="1" applyFill="1" applyBorder="1" applyAlignment="1">
      <alignment horizontal="center"/>
    </xf>
    <xf numFmtId="0" fontId="6" fillId="13" borderId="46" xfId="0" applyFont="1" applyFill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/>
    </xf>
    <xf numFmtId="0" fontId="6" fillId="13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13" xfId="0" applyFont="1" applyBorder="1"/>
    <xf numFmtId="0" fontId="1" fillId="0" borderId="13" xfId="0" applyFont="1" applyBorder="1" applyAlignment="1">
      <alignment horizontal="center"/>
    </xf>
    <xf numFmtId="3" fontId="1" fillId="0" borderId="13" xfId="0" applyNumberFormat="1" applyFont="1" applyBorder="1"/>
    <xf numFmtId="3" fontId="1" fillId="11" borderId="13" xfId="0" applyNumberFormat="1" applyFont="1" applyFill="1" applyBorder="1"/>
    <xf numFmtId="3" fontId="1" fillId="12" borderId="13" xfId="0" applyNumberFormat="1" applyFont="1" applyFill="1" applyBorder="1"/>
    <xf numFmtId="3" fontId="1" fillId="13" borderId="50" xfId="0" applyNumberFormat="1" applyFont="1" applyFill="1" applyBorder="1"/>
    <xf numFmtId="0" fontId="1" fillId="0" borderId="35" xfId="0" applyFont="1" applyBorder="1" applyAlignment="1">
      <alignment horizontal="center"/>
    </xf>
    <xf numFmtId="0" fontId="1" fillId="0" borderId="31" xfId="0" applyFont="1" applyBorder="1"/>
    <xf numFmtId="0" fontId="1" fillId="0" borderId="31" xfId="0" applyFont="1" applyBorder="1" applyAlignment="1">
      <alignment horizontal="center"/>
    </xf>
    <xf numFmtId="3" fontId="1" fillId="11" borderId="31" xfId="0" applyNumberFormat="1" applyFont="1" applyFill="1" applyBorder="1"/>
    <xf numFmtId="3" fontId="1" fillId="12" borderId="31" xfId="0" applyNumberFormat="1" applyFont="1" applyFill="1" applyBorder="1"/>
    <xf numFmtId="3" fontId="1" fillId="13" borderId="51" xfId="0" applyNumberFormat="1" applyFont="1" applyFill="1" applyBorder="1"/>
    <xf numFmtId="9" fontId="1" fillId="0" borderId="31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9" xfId="0" applyFont="1" applyBorder="1"/>
    <xf numFmtId="9" fontId="1" fillId="0" borderId="9" xfId="0" applyNumberFormat="1" applyFont="1" applyBorder="1" applyAlignment="1">
      <alignment horizontal="center"/>
    </xf>
    <xf numFmtId="3" fontId="1" fillId="11" borderId="9" xfId="0" applyNumberFormat="1" applyFont="1" applyFill="1" applyBorder="1"/>
    <xf numFmtId="3" fontId="1" fillId="12" borderId="9" xfId="0" applyNumberFormat="1" applyFont="1" applyFill="1" applyBorder="1"/>
    <xf numFmtId="3" fontId="1" fillId="13" borderId="48" xfId="0" applyNumberFormat="1" applyFont="1" applyFill="1" applyBorder="1"/>
    <xf numFmtId="0" fontId="6" fillId="0" borderId="5" xfId="0" applyFont="1" applyBorder="1" applyAlignment="1">
      <alignment horizontal="center"/>
    </xf>
    <xf numFmtId="0" fontId="6" fillId="0" borderId="10" xfId="0" applyFont="1" applyBorder="1"/>
    <xf numFmtId="9" fontId="6" fillId="0" borderId="10" xfId="0" applyNumberFormat="1" applyFont="1" applyBorder="1" applyAlignment="1">
      <alignment horizontal="center"/>
    </xf>
    <xf numFmtId="3" fontId="6" fillId="11" borderId="10" xfId="0" applyNumberFormat="1" applyFont="1" applyFill="1" applyBorder="1"/>
    <xf numFmtId="3" fontId="6" fillId="12" borderId="10" xfId="0" applyNumberFormat="1" applyFont="1" applyFill="1" applyBorder="1"/>
    <xf numFmtId="3" fontId="6" fillId="13" borderId="52" xfId="0" applyNumberFormat="1" applyFont="1" applyFill="1" applyBorder="1"/>
    <xf numFmtId="0" fontId="6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31" xfId="0" applyFont="1" applyBorder="1" applyAlignment="1">
      <alignment wrapText="1"/>
    </xf>
    <xf numFmtId="0" fontId="1" fillId="0" borderId="31" xfId="0" applyFont="1" applyBorder="1" applyAlignment="1">
      <alignment horizontal="center" wrapText="1"/>
    </xf>
    <xf numFmtId="16" fontId="1" fillId="0" borderId="35" xfId="0" applyNumberFormat="1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3" fontId="6" fillId="13" borderId="6" xfId="0" applyNumberFormat="1" applyFont="1" applyFill="1" applyBorder="1"/>
    <xf numFmtId="0" fontId="1" fillId="11" borderId="13" xfId="0" applyFont="1" applyFill="1" applyBorder="1"/>
    <xf numFmtId="0" fontId="1" fillId="12" borderId="13" xfId="0" applyFont="1" applyFill="1" applyBorder="1"/>
    <xf numFmtId="0" fontId="1" fillId="13" borderId="50" xfId="0" applyFont="1" applyFill="1" applyBorder="1"/>
    <xf numFmtId="0" fontId="1" fillId="0" borderId="9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4" xfId="0" applyFont="1" applyBorder="1"/>
    <xf numFmtId="0" fontId="6" fillId="0" borderId="54" xfId="0" applyFont="1" applyBorder="1" applyAlignment="1">
      <alignment horizontal="center"/>
    </xf>
    <xf numFmtId="3" fontId="6" fillId="0" borderId="54" xfId="0" applyNumberFormat="1" applyFont="1" applyBorder="1"/>
    <xf numFmtId="3" fontId="6" fillId="11" borderId="54" xfId="0" applyNumberFormat="1" applyFont="1" applyFill="1" applyBorder="1"/>
    <xf numFmtId="3" fontId="6" fillId="12" borderId="54" xfId="0" applyNumberFormat="1" applyFont="1" applyFill="1" applyBorder="1"/>
    <xf numFmtId="3" fontId="6" fillId="13" borderId="55" xfId="0" applyNumberFormat="1" applyFont="1" applyFill="1" applyBorder="1"/>
    <xf numFmtId="0" fontId="32" fillId="0" borderId="0" xfId="0" applyFont="1" applyAlignment="1">
      <alignment horizontal="right"/>
    </xf>
    <xf numFmtId="3" fontId="33" fillId="0" borderId="0" xfId="0" applyNumberFormat="1" applyFont="1"/>
    <xf numFmtId="0" fontId="8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0" xfId="0" applyFont="1"/>
    <xf numFmtId="3" fontId="35" fillId="0" borderId="0" xfId="0" applyNumberFormat="1" applyFont="1"/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1" fillId="0" borderId="4" xfId="0" applyNumberFormat="1" applyFont="1" applyBorder="1"/>
    <xf numFmtId="3" fontId="1" fillId="0" borderId="7" xfId="0" applyNumberFormat="1" applyFont="1" applyBorder="1"/>
    <xf numFmtId="0" fontId="6" fillId="0" borderId="0" xfId="0" applyFont="1" applyAlignment="1">
      <alignment horizontal="right"/>
    </xf>
    <xf numFmtId="49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Normalno" xfId="0" builtinId="0"/>
    <cellStyle name="Normalno 2" xfId="1" xr:uid="{114BDFEF-652C-4C00-9FBB-3C443CA5A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a/Desktop/Nova%20mapa/05.%20PRORA&#268;UN/23.%20PRORA&#268;UN%202023/RADNI%20MATERIJAL%20PRORA&#268;UN/pove&#263;anje%20osnovice%2020%25/JVP%20OPATIJA%20-%20Financijski%20plan%202023.%20-2025.%20PRIJEDLOG%20za%20J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IF 2022-2021 "/>
      <sheetName val="UV-KAPITALNA 2023"/>
      <sheetName val="kap 2023"/>
      <sheetName val="UV-2023"/>
      <sheetName val="UV-TOTAL 2023"/>
      <sheetName val="rekapitulacija"/>
      <sheetName val="2023"/>
      <sheetName val="IF 2023-2022 KN"/>
      <sheetName val="IF 2023-2022 EUR"/>
      <sheetName val="Uredba MM"/>
    </sheetNames>
    <sheetDataSet>
      <sheetData sheetId="0">
        <row r="57">
          <cell r="G57">
            <v>3500000</v>
          </cell>
        </row>
        <row r="58">
          <cell r="G58">
            <v>1500000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5">
          <cell r="K45">
            <v>3340484.4299999997</v>
          </cell>
        </row>
        <row r="46">
          <cell r="I46">
            <v>25000</v>
          </cell>
        </row>
        <row r="47">
          <cell r="I47">
            <v>15000</v>
          </cell>
        </row>
        <row r="48">
          <cell r="I48">
            <v>115000</v>
          </cell>
        </row>
        <row r="49">
          <cell r="I49">
            <v>16000</v>
          </cell>
        </row>
        <row r="50">
          <cell r="I50">
            <v>24000</v>
          </cell>
        </row>
        <row r="51">
          <cell r="I51">
            <v>207000</v>
          </cell>
        </row>
        <row r="52">
          <cell r="I52">
            <v>8000</v>
          </cell>
        </row>
        <row r="62">
          <cell r="I62">
            <v>25000</v>
          </cell>
        </row>
      </sheetData>
      <sheetData sheetId="8">
        <row r="7">
          <cell r="E7">
            <v>4212501</v>
          </cell>
          <cell r="F7">
            <v>4212501</v>
          </cell>
        </row>
        <row r="9">
          <cell r="E9">
            <v>2401126</v>
          </cell>
          <cell r="F9">
            <v>2401126</v>
          </cell>
        </row>
        <row r="10">
          <cell r="E10">
            <v>968875</v>
          </cell>
          <cell r="F10">
            <v>968875</v>
          </cell>
        </row>
        <row r="11">
          <cell r="E11">
            <v>589750.14</v>
          </cell>
          <cell r="F11">
            <v>589750.14</v>
          </cell>
        </row>
        <row r="12">
          <cell r="E12">
            <v>252750.06</v>
          </cell>
          <cell r="F12">
            <v>252750.06</v>
          </cell>
        </row>
        <row r="14">
          <cell r="E14">
            <v>4615499</v>
          </cell>
        </row>
        <row r="16">
          <cell r="E16">
            <v>2000</v>
          </cell>
        </row>
        <row r="17">
          <cell r="F17">
            <v>0</v>
          </cell>
        </row>
        <row r="18">
          <cell r="F18">
            <v>0</v>
          </cell>
        </row>
        <row r="19">
          <cell r="E19">
            <v>2629694.4299999997</v>
          </cell>
        </row>
        <row r="20">
          <cell r="E20">
            <v>1061104.77</v>
          </cell>
        </row>
        <row r="21">
          <cell r="E21">
            <v>645889.8600000001</v>
          </cell>
        </row>
        <row r="22">
          <cell r="E22">
            <v>276809.94</v>
          </cell>
        </row>
        <row r="25">
          <cell r="E25">
            <v>165500</v>
          </cell>
        </row>
        <row r="26">
          <cell r="E26">
            <v>25000</v>
          </cell>
          <cell r="F26">
            <v>25000</v>
          </cell>
        </row>
        <row r="27">
          <cell r="E27">
            <v>0</v>
          </cell>
          <cell r="F27">
            <v>16000</v>
          </cell>
        </row>
        <row r="28">
          <cell r="E28">
            <v>20000</v>
          </cell>
          <cell r="F28">
            <v>24000</v>
          </cell>
        </row>
        <row r="29">
          <cell r="E29">
            <v>196000</v>
          </cell>
          <cell r="F29">
            <v>207000</v>
          </cell>
        </row>
        <row r="30">
          <cell r="E30">
            <v>19000</v>
          </cell>
          <cell r="F30">
            <v>8000</v>
          </cell>
        </row>
        <row r="31">
          <cell r="E31">
            <v>1500000</v>
          </cell>
          <cell r="F31">
            <v>1500000</v>
          </cell>
        </row>
        <row r="32">
          <cell r="E32">
            <v>3500000</v>
          </cell>
          <cell r="F32">
            <v>3500000</v>
          </cell>
        </row>
        <row r="35">
          <cell r="E35">
            <v>23000</v>
          </cell>
          <cell r="F35">
            <v>30000</v>
          </cell>
        </row>
        <row r="36">
          <cell r="E36">
            <v>3500</v>
          </cell>
          <cell r="F36">
            <v>0</v>
          </cell>
        </row>
        <row r="37">
          <cell r="E37">
            <v>1500000</v>
          </cell>
          <cell r="F37">
            <v>1500000</v>
          </cell>
        </row>
        <row r="38">
          <cell r="E38">
            <v>3500000</v>
          </cell>
          <cell r="F38">
            <v>3500000</v>
          </cell>
        </row>
        <row r="40">
          <cell r="E40">
            <v>227429.99999999997</v>
          </cell>
        </row>
        <row r="41">
          <cell r="E41">
            <v>91770</v>
          </cell>
        </row>
        <row r="42">
          <cell r="E42">
            <v>55860.000000000007</v>
          </cell>
        </row>
        <row r="43">
          <cell r="E43">
            <v>23940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A39C-F551-4626-AA5B-025B8A361F2D}">
  <sheetPr>
    <tabColor rgb="FFC00000"/>
    <pageSetUpPr fitToPage="1"/>
  </sheetPr>
  <dimension ref="A1:X176"/>
  <sheetViews>
    <sheetView tabSelected="1" topLeftCell="A3" zoomScale="120" zoomScaleNormal="120" workbookViewId="0">
      <selection activeCell="B3" sqref="B1:G1048576"/>
    </sheetView>
  </sheetViews>
  <sheetFormatPr defaultRowHeight="11.25" x14ac:dyDescent="0.2"/>
  <cols>
    <col min="1" max="1" width="5.85546875" style="1" customWidth="1"/>
    <col min="2" max="2" width="25.85546875" style="1" customWidth="1"/>
    <col min="3" max="3" width="10.85546875" style="2" customWidth="1"/>
    <col min="4" max="4" width="12" style="3" customWidth="1"/>
    <col min="5" max="5" width="11.140625" style="3" customWidth="1"/>
    <col min="6" max="6" width="11.140625" style="2" customWidth="1"/>
    <col min="7" max="8" width="10.5703125" style="2" customWidth="1"/>
    <col min="9" max="9" width="11.85546875" style="4" customWidth="1"/>
    <col min="10" max="10" width="10" style="5" bestFit="1" customWidth="1"/>
    <col min="11" max="11" width="10.85546875" style="6" bestFit="1" customWidth="1"/>
    <col min="12" max="12" width="8.7109375" style="2" customWidth="1"/>
    <col min="13" max="13" width="8.7109375" style="2" bestFit="1" customWidth="1"/>
    <col min="14" max="14" width="8" style="2" customWidth="1"/>
    <col min="15" max="15" width="8.85546875" style="2" customWidth="1"/>
    <col min="16" max="16" width="9.85546875" style="2" customWidth="1"/>
    <col min="17" max="17" width="9.42578125" style="7" customWidth="1"/>
    <col min="18" max="18" width="10.5703125" style="6" customWidth="1"/>
    <col min="19" max="19" width="10.85546875" style="8" customWidth="1"/>
    <col min="20" max="20" width="11.140625" style="1" customWidth="1"/>
    <col min="21" max="21" width="12.42578125" style="1" customWidth="1"/>
    <col min="22" max="22" width="11.42578125" style="1" customWidth="1"/>
    <col min="23" max="23" width="10.85546875" style="8" customWidth="1"/>
    <col min="24" max="24" width="11.140625" style="1" customWidth="1"/>
    <col min="25" max="256" width="9.140625" style="1"/>
    <col min="257" max="257" width="5.85546875" style="1" customWidth="1"/>
    <col min="258" max="258" width="25.85546875" style="1" customWidth="1"/>
    <col min="259" max="261" width="10" style="1" customWidth="1"/>
    <col min="262" max="264" width="10.5703125" style="1" customWidth="1"/>
    <col min="265" max="265" width="11.85546875" style="1" customWidth="1"/>
    <col min="266" max="266" width="10" style="1" bestFit="1" customWidth="1"/>
    <col min="267" max="267" width="10.85546875" style="1" bestFit="1" customWidth="1"/>
    <col min="268" max="268" width="8.7109375" style="1" customWidth="1"/>
    <col min="269" max="269" width="8.7109375" style="1" bestFit="1" customWidth="1"/>
    <col min="270" max="270" width="8" style="1" customWidth="1"/>
    <col min="271" max="271" width="8.85546875" style="1" customWidth="1"/>
    <col min="272" max="272" width="9.85546875" style="1" customWidth="1"/>
    <col min="273" max="273" width="9.42578125" style="1" customWidth="1"/>
    <col min="274" max="274" width="10.5703125" style="1" customWidth="1"/>
    <col min="275" max="275" width="10.85546875" style="1" customWidth="1"/>
    <col min="276" max="276" width="11.140625" style="1" customWidth="1"/>
    <col min="277" max="277" width="12.42578125" style="1" customWidth="1"/>
    <col min="278" max="278" width="11.42578125" style="1" customWidth="1"/>
    <col min="279" max="279" width="10.85546875" style="1" customWidth="1"/>
    <col min="280" max="280" width="11.140625" style="1" customWidth="1"/>
    <col min="281" max="512" width="9.140625" style="1"/>
    <col min="513" max="513" width="5.85546875" style="1" customWidth="1"/>
    <col min="514" max="514" width="25.85546875" style="1" customWidth="1"/>
    <col min="515" max="517" width="10" style="1" customWidth="1"/>
    <col min="518" max="520" width="10.5703125" style="1" customWidth="1"/>
    <col min="521" max="521" width="11.85546875" style="1" customWidth="1"/>
    <col min="522" max="522" width="10" style="1" bestFit="1" customWidth="1"/>
    <col min="523" max="523" width="10.85546875" style="1" bestFit="1" customWidth="1"/>
    <col min="524" max="524" width="8.7109375" style="1" customWidth="1"/>
    <col min="525" max="525" width="8.7109375" style="1" bestFit="1" customWidth="1"/>
    <col min="526" max="526" width="8" style="1" customWidth="1"/>
    <col min="527" max="527" width="8.85546875" style="1" customWidth="1"/>
    <col min="528" max="528" width="9.85546875" style="1" customWidth="1"/>
    <col min="529" max="529" width="9.42578125" style="1" customWidth="1"/>
    <col min="530" max="530" width="10.5703125" style="1" customWidth="1"/>
    <col min="531" max="531" width="10.85546875" style="1" customWidth="1"/>
    <col min="532" max="532" width="11.140625" style="1" customWidth="1"/>
    <col min="533" max="533" width="12.42578125" style="1" customWidth="1"/>
    <col min="534" max="534" width="11.42578125" style="1" customWidth="1"/>
    <col min="535" max="535" width="10.85546875" style="1" customWidth="1"/>
    <col min="536" max="536" width="11.140625" style="1" customWidth="1"/>
    <col min="537" max="768" width="9.140625" style="1"/>
    <col min="769" max="769" width="5.85546875" style="1" customWidth="1"/>
    <col min="770" max="770" width="25.85546875" style="1" customWidth="1"/>
    <col min="771" max="773" width="10" style="1" customWidth="1"/>
    <col min="774" max="776" width="10.5703125" style="1" customWidth="1"/>
    <col min="777" max="777" width="11.85546875" style="1" customWidth="1"/>
    <col min="778" max="778" width="10" style="1" bestFit="1" customWidth="1"/>
    <col min="779" max="779" width="10.85546875" style="1" bestFit="1" customWidth="1"/>
    <col min="780" max="780" width="8.7109375" style="1" customWidth="1"/>
    <col min="781" max="781" width="8.7109375" style="1" bestFit="1" customWidth="1"/>
    <col min="782" max="782" width="8" style="1" customWidth="1"/>
    <col min="783" max="783" width="8.85546875" style="1" customWidth="1"/>
    <col min="784" max="784" width="9.85546875" style="1" customWidth="1"/>
    <col min="785" max="785" width="9.42578125" style="1" customWidth="1"/>
    <col min="786" max="786" width="10.5703125" style="1" customWidth="1"/>
    <col min="787" max="787" width="10.85546875" style="1" customWidth="1"/>
    <col min="788" max="788" width="11.140625" style="1" customWidth="1"/>
    <col min="789" max="789" width="12.42578125" style="1" customWidth="1"/>
    <col min="790" max="790" width="11.42578125" style="1" customWidth="1"/>
    <col min="791" max="791" width="10.85546875" style="1" customWidth="1"/>
    <col min="792" max="792" width="11.140625" style="1" customWidth="1"/>
    <col min="793" max="1024" width="9.140625" style="1"/>
    <col min="1025" max="1025" width="5.85546875" style="1" customWidth="1"/>
    <col min="1026" max="1026" width="25.85546875" style="1" customWidth="1"/>
    <col min="1027" max="1029" width="10" style="1" customWidth="1"/>
    <col min="1030" max="1032" width="10.5703125" style="1" customWidth="1"/>
    <col min="1033" max="1033" width="11.85546875" style="1" customWidth="1"/>
    <col min="1034" max="1034" width="10" style="1" bestFit="1" customWidth="1"/>
    <col min="1035" max="1035" width="10.85546875" style="1" bestFit="1" customWidth="1"/>
    <col min="1036" max="1036" width="8.7109375" style="1" customWidth="1"/>
    <col min="1037" max="1037" width="8.7109375" style="1" bestFit="1" customWidth="1"/>
    <col min="1038" max="1038" width="8" style="1" customWidth="1"/>
    <col min="1039" max="1039" width="8.85546875" style="1" customWidth="1"/>
    <col min="1040" max="1040" width="9.85546875" style="1" customWidth="1"/>
    <col min="1041" max="1041" width="9.42578125" style="1" customWidth="1"/>
    <col min="1042" max="1042" width="10.5703125" style="1" customWidth="1"/>
    <col min="1043" max="1043" width="10.85546875" style="1" customWidth="1"/>
    <col min="1044" max="1044" width="11.140625" style="1" customWidth="1"/>
    <col min="1045" max="1045" width="12.42578125" style="1" customWidth="1"/>
    <col min="1046" max="1046" width="11.42578125" style="1" customWidth="1"/>
    <col min="1047" max="1047" width="10.85546875" style="1" customWidth="1"/>
    <col min="1048" max="1048" width="11.140625" style="1" customWidth="1"/>
    <col min="1049" max="1280" width="9.140625" style="1"/>
    <col min="1281" max="1281" width="5.85546875" style="1" customWidth="1"/>
    <col min="1282" max="1282" width="25.85546875" style="1" customWidth="1"/>
    <col min="1283" max="1285" width="10" style="1" customWidth="1"/>
    <col min="1286" max="1288" width="10.5703125" style="1" customWidth="1"/>
    <col min="1289" max="1289" width="11.85546875" style="1" customWidth="1"/>
    <col min="1290" max="1290" width="10" style="1" bestFit="1" customWidth="1"/>
    <col min="1291" max="1291" width="10.85546875" style="1" bestFit="1" customWidth="1"/>
    <col min="1292" max="1292" width="8.7109375" style="1" customWidth="1"/>
    <col min="1293" max="1293" width="8.7109375" style="1" bestFit="1" customWidth="1"/>
    <col min="1294" max="1294" width="8" style="1" customWidth="1"/>
    <col min="1295" max="1295" width="8.85546875" style="1" customWidth="1"/>
    <col min="1296" max="1296" width="9.85546875" style="1" customWidth="1"/>
    <col min="1297" max="1297" width="9.42578125" style="1" customWidth="1"/>
    <col min="1298" max="1298" width="10.5703125" style="1" customWidth="1"/>
    <col min="1299" max="1299" width="10.85546875" style="1" customWidth="1"/>
    <col min="1300" max="1300" width="11.140625" style="1" customWidth="1"/>
    <col min="1301" max="1301" width="12.42578125" style="1" customWidth="1"/>
    <col min="1302" max="1302" width="11.42578125" style="1" customWidth="1"/>
    <col min="1303" max="1303" width="10.85546875" style="1" customWidth="1"/>
    <col min="1304" max="1304" width="11.140625" style="1" customWidth="1"/>
    <col min="1305" max="1536" width="9.140625" style="1"/>
    <col min="1537" max="1537" width="5.85546875" style="1" customWidth="1"/>
    <col min="1538" max="1538" width="25.85546875" style="1" customWidth="1"/>
    <col min="1539" max="1541" width="10" style="1" customWidth="1"/>
    <col min="1542" max="1544" width="10.5703125" style="1" customWidth="1"/>
    <col min="1545" max="1545" width="11.85546875" style="1" customWidth="1"/>
    <col min="1546" max="1546" width="10" style="1" bestFit="1" customWidth="1"/>
    <col min="1547" max="1547" width="10.85546875" style="1" bestFit="1" customWidth="1"/>
    <col min="1548" max="1548" width="8.7109375" style="1" customWidth="1"/>
    <col min="1549" max="1549" width="8.7109375" style="1" bestFit="1" customWidth="1"/>
    <col min="1550" max="1550" width="8" style="1" customWidth="1"/>
    <col min="1551" max="1551" width="8.85546875" style="1" customWidth="1"/>
    <col min="1552" max="1552" width="9.85546875" style="1" customWidth="1"/>
    <col min="1553" max="1553" width="9.42578125" style="1" customWidth="1"/>
    <col min="1554" max="1554" width="10.5703125" style="1" customWidth="1"/>
    <col min="1555" max="1555" width="10.85546875" style="1" customWidth="1"/>
    <col min="1556" max="1556" width="11.140625" style="1" customWidth="1"/>
    <col min="1557" max="1557" width="12.42578125" style="1" customWidth="1"/>
    <col min="1558" max="1558" width="11.42578125" style="1" customWidth="1"/>
    <col min="1559" max="1559" width="10.85546875" style="1" customWidth="1"/>
    <col min="1560" max="1560" width="11.140625" style="1" customWidth="1"/>
    <col min="1561" max="1792" width="9.140625" style="1"/>
    <col min="1793" max="1793" width="5.85546875" style="1" customWidth="1"/>
    <col min="1794" max="1794" width="25.85546875" style="1" customWidth="1"/>
    <col min="1795" max="1797" width="10" style="1" customWidth="1"/>
    <col min="1798" max="1800" width="10.5703125" style="1" customWidth="1"/>
    <col min="1801" max="1801" width="11.85546875" style="1" customWidth="1"/>
    <col min="1802" max="1802" width="10" style="1" bestFit="1" customWidth="1"/>
    <col min="1803" max="1803" width="10.85546875" style="1" bestFit="1" customWidth="1"/>
    <col min="1804" max="1804" width="8.7109375" style="1" customWidth="1"/>
    <col min="1805" max="1805" width="8.7109375" style="1" bestFit="1" customWidth="1"/>
    <col min="1806" max="1806" width="8" style="1" customWidth="1"/>
    <col min="1807" max="1807" width="8.85546875" style="1" customWidth="1"/>
    <col min="1808" max="1808" width="9.85546875" style="1" customWidth="1"/>
    <col min="1809" max="1809" width="9.42578125" style="1" customWidth="1"/>
    <col min="1810" max="1810" width="10.5703125" style="1" customWidth="1"/>
    <col min="1811" max="1811" width="10.85546875" style="1" customWidth="1"/>
    <col min="1812" max="1812" width="11.140625" style="1" customWidth="1"/>
    <col min="1813" max="1813" width="12.42578125" style="1" customWidth="1"/>
    <col min="1814" max="1814" width="11.42578125" style="1" customWidth="1"/>
    <col min="1815" max="1815" width="10.85546875" style="1" customWidth="1"/>
    <col min="1816" max="1816" width="11.140625" style="1" customWidth="1"/>
    <col min="1817" max="2048" width="9.140625" style="1"/>
    <col min="2049" max="2049" width="5.85546875" style="1" customWidth="1"/>
    <col min="2050" max="2050" width="25.85546875" style="1" customWidth="1"/>
    <col min="2051" max="2053" width="10" style="1" customWidth="1"/>
    <col min="2054" max="2056" width="10.5703125" style="1" customWidth="1"/>
    <col min="2057" max="2057" width="11.85546875" style="1" customWidth="1"/>
    <col min="2058" max="2058" width="10" style="1" bestFit="1" customWidth="1"/>
    <col min="2059" max="2059" width="10.85546875" style="1" bestFit="1" customWidth="1"/>
    <col min="2060" max="2060" width="8.7109375" style="1" customWidth="1"/>
    <col min="2061" max="2061" width="8.7109375" style="1" bestFit="1" customWidth="1"/>
    <col min="2062" max="2062" width="8" style="1" customWidth="1"/>
    <col min="2063" max="2063" width="8.85546875" style="1" customWidth="1"/>
    <col min="2064" max="2064" width="9.85546875" style="1" customWidth="1"/>
    <col min="2065" max="2065" width="9.42578125" style="1" customWidth="1"/>
    <col min="2066" max="2066" width="10.5703125" style="1" customWidth="1"/>
    <col min="2067" max="2067" width="10.85546875" style="1" customWidth="1"/>
    <col min="2068" max="2068" width="11.140625" style="1" customWidth="1"/>
    <col min="2069" max="2069" width="12.42578125" style="1" customWidth="1"/>
    <col min="2070" max="2070" width="11.42578125" style="1" customWidth="1"/>
    <col min="2071" max="2071" width="10.85546875" style="1" customWidth="1"/>
    <col min="2072" max="2072" width="11.140625" style="1" customWidth="1"/>
    <col min="2073" max="2304" width="9.140625" style="1"/>
    <col min="2305" max="2305" width="5.85546875" style="1" customWidth="1"/>
    <col min="2306" max="2306" width="25.85546875" style="1" customWidth="1"/>
    <col min="2307" max="2309" width="10" style="1" customWidth="1"/>
    <col min="2310" max="2312" width="10.5703125" style="1" customWidth="1"/>
    <col min="2313" max="2313" width="11.85546875" style="1" customWidth="1"/>
    <col min="2314" max="2314" width="10" style="1" bestFit="1" customWidth="1"/>
    <col min="2315" max="2315" width="10.85546875" style="1" bestFit="1" customWidth="1"/>
    <col min="2316" max="2316" width="8.7109375" style="1" customWidth="1"/>
    <col min="2317" max="2317" width="8.7109375" style="1" bestFit="1" customWidth="1"/>
    <col min="2318" max="2318" width="8" style="1" customWidth="1"/>
    <col min="2319" max="2319" width="8.85546875" style="1" customWidth="1"/>
    <col min="2320" max="2320" width="9.85546875" style="1" customWidth="1"/>
    <col min="2321" max="2321" width="9.42578125" style="1" customWidth="1"/>
    <col min="2322" max="2322" width="10.5703125" style="1" customWidth="1"/>
    <col min="2323" max="2323" width="10.85546875" style="1" customWidth="1"/>
    <col min="2324" max="2324" width="11.140625" style="1" customWidth="1"/>
    <col min="2325" max="2325" width="12.42578125" style="1" customWidth="1"/>
    <col min="2326" max="2326" width="11.42578125" style="1" customWidth="1"/>
    <col min="2327" max="2327" width="10.85546875" style="1" customWidth="1"/>
    <col min="2328" max="2328" width="11.140625" style="1" customWidth="1"/>
    <col min="2329" max="2560" width="9.140625" style="1"/>
    <col min="2561" max="2561" width="5.85546875" style="1" customWidth="1"/>
    <col min="2562" max="2562" width="25.85546875" style="1" customWidth="1"/>
    <col min="2563" max="2565" width="10" style="1" customWidth="1"/>
    <col min="2566" max="2568" width="10.5703125" style="1" customWidth="1"/>
    <col min="2569" max="2569" width="11.85546875" style="1" customWidth="1"/>
    <col min="2570" max="2570" width="10" style="1" bestFit="1" customWidth="1"/>
    <col min="2571" max="2571" width="10.85546875" style="1" bestFit="1" customWidth="1"/>
    <col min="2572" max="2572" width="8.7109375" style="1" customWidth="1"/>
    <col min="2573" max="2573" width="8.7109375" style="1" bestFit="1" customWidth="1"/>
    <col min="2574" max="2574" width="8" style="1" customWidth="1"/>
    <col min="2575" max="2575" width="8.85546875" style="1" customWidth="1"/>
    <col min="2576" max="2576" width="9.85546875" style="1" customWidth="1"/>
    <col min="2577" max="2577" width="9.42578125" style="1" customWidth="1"/>
    <col min="2578" max="2578" width="10.5703125" style="1" customWidth="1"/>
    <col min="2579" max="2579" width="10.85546875" style="1" customWidth="1"/>
    <col min="2580" max="2580" width="11.140625" style="1" customWidth="1"/>
    <col min="2581" max="2581" width="12.42578125" style="1" customWidth="1"/>
    <col min="2582" max="2582" width="11.42578125" style="1" customWidth="1"/>
    <col min="2583" max="2583" width="10.85546875" style="1" customWidth="1"/>
    <col min="2584" max="2584" width="11.140625" style="1" customWidth="1"/>
    <col min="2585" max="2816" width="9.140625" style="1"/>
    <col min="2817" max="2817" width="5.85546875" style="1" customWidth="1"/>
    <col min="2818" max="2818" width="25.85546875" style="1" customWidth="1"/>
    <col min="2819" max="2821" width="10" style="1" customWidth="1"/>
    <col min="2822" max="2824" width="10.5703125" style="1" customWidth="1"/>
    <col min="2825" max="2825" width="11.85546875" style="1" customWidth="1"/>
    <col min="2826" max="2826" width="10" style="1" bestFit="1" customWidth="1"/>
    <col min="2827" max="2827" width="10.85546875" style="1" bestFit="1" customWidth="1"/>
    <col min="2828" max="2828" width="8.7109375" style="1" customWidth="1"/>
    <col min="2829" max="2829" width="8.7109375" style="1" bestFit="1" customWidth="1"/>
    <col min="2830" max="2830" width="8" style="1" customWidth="1"/>
    <col min="2831" max="2831" width="8.85546875" style="1" customWidth="1"/>
    <col min="2832" max="2832" width="9.85546875" style="1" customWidth="1"/>
    <col min="2833" max="2833" width="9.42578125" style="1" customWidth="1"/>
    <col min="2834" max="2834" width="10.5703125" style="1" customWidth="1"/>
    <col min="2835" max="2835" width="10.85546875" style="1" customWidth="1"/>
    <col min="2836" max="2836" width="11.140625" style="1" customWidth="1"/>
    <col min="2837" max="2837" width="12.42578125" style="1" customWidth="1"/>
    <col min="2838" max="2838" width="11.42578125" style="1" customWidth="1"/>
    <col min="2839" max="2839" width="10.85546875" style="1" customWidth="1"/>
    <col min="2840" max="2840" width="11.140625" style="1" customWidth="1"/>
    <col min="2841" max="3072" width="9.140625" style="1"/>
    <col min="3073" max="3073" width="5.85546875" style="1" customWidth="1"/>
    <col min="3074" max="3074" width="25.85546875" style="1" customWidth="1"/>
    <col min="3075" max="3077" width="10" style="1" customWidth="1"/>
    <col min="3078" max="3080" width="10.5703125" style="1" customWidth="1"/>
    <col min="3081" max="3081" width="11.85546875" style="1" customWidth="1"/>
    <col min="3082" max="3082" width="10" style="1" bestFit="1" customWidth="1"/>
    <col min="3083" max="3083" width="10.85546875" style="1" bestFit="1" customWidth="1"/>
    <col min="3084" max="3084" width="8.7109375" style="1" customWidth="1"/>
    <col min="3085" max="3085" width="8.7109375" style="1" bestFit="1" customWidth="1"/>
    <col min="3086" max="3086" width="8" style="1" customWidth="1"/>
    <col min="3087" max="3087" width="8.85546875" style="1" customWidth="1"/>
    <col min="3088" max="3088" width="9.85546875" style="1" customWidth="1"/>
    <col min="3089" max="3089" width="9.42578125" style="1" customWidth="1"/>
    <col min="3090" max="3090" width="10.5703125" style="1" customWidth="1"/>
    <col min="3091" max="3091" width="10.85546875" style="1" customWidth="1"/>
    <col min="3092" max="3092" width="11.140625" style="1" customWidth="1"/>
    <col min="3093" max="3093" width="12.42578125" style="1" customWidth="1"/>
    <col min="3094" max="3094" width="11.42578125" style="1" customWidth="1"/>
    <col min="3095" max="3095" width="10.85546875" style="1" customWidth="1"/>
    <col min="3096" max="3096" width="11.140625" style="1" customWidth="1"/>
    <col min="3097" max="3328" width="9.140625" style="1"/>
    <col min="3329" max="3329" width="5.85546875" style="1" customWidth="1"/>
    <col min="3330" max="3330" width="25.85546875" style="1" customWidth="1"/>
    <col min="3331" max="3333" width="10" style="1" customWidth="1"/>
    <col min="3334" max="3336" width="10.5703125" style="1" customWidth="1"/>
    <col min="3337" max="3337" width="11.85546875" style="1" customWidth="1"/>
    <col min="3338" max="3338" width="10" style="1" bestFit="1" customWidth="1"/>
    <col min="3339" max="3339" width="10.85546875" style="1" bestFit="1" customWidth="1"/>
    <col min="3340" max="3340" width="8.7109375" style="1" customWidth="1"/>
    <col min="3341" max="3341" width="8.7109375" style="1" bestFit="1" customWidth="1"/>
    <col min="3342" max="3342" width="8" style="1" customWidth="1"/>
    <col min="3343" max="3343" width="8.85546875" style="1" customWidth="1"/>
    <col min="3344" max="3344" width="9.85546875" style="1" customWidth="1"/>
    <col min="3345" max="3345" width="9.42578125" style="1" customWidth="1"/>
    <col min="3346" max="3346" width="10.5703125" style="1" customWidth="1"/>
    <col min="3347" max="3347" width="10.85546875" style="1" customWidth="1"/>
    <col min="3348" max="3348" width="11.140625" style="1" customWidth="1"/>
    <col min="3349" max="3349" width="12.42578125" style="1" customWidth="1"/>
    <col min="3350" max="3350" width="11.42578125" style="1" customWidth="1"/>
    <col min="3351" max="3351" width="10.85546875" style="1" customWidth="1"/>
    <col min="3352" max="3352" width="11.140625" style="1" customWidth="1"/>
    <col min="3353" max="3584" width="9.140625" style="1"/>
    <col min="3585" max="3585" width="5.85546875" style="1" customWidth="1"/>
    <col min="3586" max="3586" width="25.85546875" style="1" customWidth="1"/>
    <col min="3587" max="3589" width="10" style="1" customWidth="1"/>
    <col min="3590" max="3592" width="10.5703125" style="1" customWidth="1"/>
    <col min="3593" max="3593" width="11.85546875" style="1" customWidth="1"/>
    <col min="3594" max="3594" width="10" style="1" bestFit="1" customWidth="1"/>
    <col min="3595" max="3595" width="10.85546875" style="1" bestFit="1" customWidth="1"/>
    <col min="3596" max="3596" width="8.7109375" style="1" customWidth="1"/>
    <col min="3597" max="3597" width="8.7109375" style="1" bestFit="1" customWidth="1"/>
    <col min="3598" max="3598" width="8" style="1" customWidth="1"/>
    <col min="3599" max="3599" width="8.85546875" style="1" customWidth="1"/>
    <col min="3600" max="3600" width="9.85546875" style="1" customWidth="1"/>
    <col min="3601" max="3601" width="9.42578125" style="1" customWidth="1"/>
    <col min="3602" max="3602" width="10.5703125" style="1" customWidth="1"/>
    <col min="3603" max="3603" width="10.85546875" style="1" customWidth="1"/>
    <col min="3604" max="3604" width="11.140625" style="1" customWidth="1"/>
    <col min="3605" max="3605" width="12.42578125" style="1" customWidth="1"/>
    <col min="3606" max="3606" width="11.42578125" style="1" customWidth="1"/>
    <col min="3607" max="3607" width="10.85546875" style="1" customWidth="1"/>
    <col min="3608" max="3608" width="11.140625" style="1" customWidth="1"/>
    <col min="3609" max="3840" width="9.140625" style="1"/>
    <col min="3841" max="3841" width="5.85546875" style="1" customWidth="1"/>
    <col min="3842" max="3842" width="25.85546875" style="1" customWidth="1"/>
    <col min="3843" max="3845" width="10" style="1" customWidth="1"/>
    <col min="3846" max="3848" width="10.5703125" style="1" customWidth="1"/>
    <col min="3849" max="3849" width="11.85546875" style="1" customWidth="1"/>
    <col min="3850" max="3850" width="10" style="1" bestFit="1" customWidth="1"/>
    <col min="3851" max="3851" width="10.85546875" style="1" bestFit="1" customWidth="1"/>
    <col min="3852" max="3852" width="8.7109375" style="1" customWidth="1"/>
    <col min="3853" max="3853" width="8.7109375" style="1" bestFit="1" customWidth="1"/>
    <col min="3854" max="3854" width="8" style="1" customWidth="1"/>
    <col min="3855" max="3855" width="8.85546875" style="1" customWidth="1"/>
    <col min="3856" max="3856" width="9.85546875" style="1" customWidth="1"/>
    <col min="3857" max="3857" width="9.42578125" style="1" customWidth="1"/>
    <col min="3858" max="3858" width="10.5703125" style="1" customWidth="1"/>
    <col min="3859" max="3859" width="10.85546875" style="1" customWidth="1"/>
    <col min="3860" max="3860" width="11.140625" style="1" customWidth="1"/>
    <col min="3861" max="3861" width="12.42578125" style="1" customWidth="1"/>
    <col min="3862" max="3862" width="11.42578125" style="1" customWidth="1"/>
    <col min="3863" max="3863" width="10.85546875" style="1" customWidth="1"/>
    <col min="3864" max="3864" width="11.140625" style="1" customWidth="1"/>
    <col min="3865" max="4096" width="9.140625" style="1"/>
    <col min="4097" max="4097" width="5.85546875" style="1" customWidth="1"/>
    <col min="4098" max="4098" width="25.85546875" style="1" customWidth="1"/>
    <col min="4099" max="4101" width="10" style="1" customWidth="1"/>
    <col min="4102" max="4104" width="10.5703125" style="1" customWidth="1"/>
    <col min="4105" max="4105" width="11.85546875" style="1" customWidth="1"/>
    <col min="4106" max="4106" width="10" style="1" bestFit="1" customWidth="1"/>
    <col min="4107" max="4107" width="10.85546875" style="1" bestFit="1" customWidth="1"/>
    <col min="4108" max="4108" width="8.7109375" style="1" customWidth="1"/>
    <col min="4109" max="4109" width="8.7109375" style="1" bestFit="1" customWidth="1"/>
    <col min="4110" max="4110" width="8" style="1" customWidth="1"/>
    <col min="4111" max="4111" width="8.85546875" style="1" customWidth="1"/>
    <col min="4112" max="4112" width="9.85546875" style="1" customWidth="1"/>
    <col min="4113" max="4113" width="9.42578125" style="1" customWidth="1"/>
    <col min="4114" max="4114" width="10.5703125" style="1" customWidth="1"/>
    <col min="4115" max="4115" width="10.85546875" style="1" customWidth="1"/>
    <col min="4116" max="4116" width="11.140625" style="1" customWidth="1"/>
    <col min="4117" max="4117" width="12.42578125" style="1" customWidth="1"/>
    <col min="4118" max="4118" width="11.42578125" style="1" customWidth="1"/>
    <col min="4119" max="4119" width="10.85546875" style="1" customWidth="1"/>
    <col min="4120" max="4120" width="11.140625" style="1" customWidth="1"/>
    <col min="4121" max="4352" width="9.140625" style="1"/>
    <col min="4353" max="4353" width="5.85546875" style="1" customWidth="1"/>
    <col min="4354" max="4354" width="25.85546875" style="1" customWidth="1"/>
    <col min="4355" max="4357" width="10" style="1" customWidth="1"/>
    <col min="4358" max="4360" width="10.5703125" style="1" customWidth="1"/>
    <col min="4361" max="4361" width="11.85546875" style="1" customWidth="1"/>
    <col min="4362" max="4362" width="10" style="1" bestFit="1" customWidth="1"/>
    <col min="4363" max="4363" width="10.85546875" style="1" bestFit="1" customWidth="1"/>
    <col min="4364" max="4364" width="8.7109375" style="1" customWidth="1"/>
    <col min="4365" max="4365" width="8.7109375" style="1" bestFit="1" customWidth="1"/>
    <col min="4366" max="4366" width="8" style="1" customWidth="1"/>
    <col min="4367" max="4367" width="8.85546875" style="1" customWidth="1"/>
    <col min="4368" max="4368" width="9.85546875" style="1" customWidth="1"/>
    <col min="4369" max="4369" width="9.42578125" style="1" customWidth="1"/>
    <col min="4370" max="4370" width="10.5703125" style="1" customWidth="1"/>
    <col min="4371" max="4371" width="10.85546875" style="1" customWidth="1"/>
    <col min="4372" max="4372" width="11.140625" style="1" customWidth="1"/>
    <col min="4373" max="4373" width="12.42578125" style="1" customWidth="1"/>
    <col min="4374" max="4374" width="11.42578125" style="1" customWidth="1"/>
    <col min="4375" max="4375" width="10.85546875" style="1" customWidth="1"/>
    <col min="4376" max="4376" width="11.140625" style="1" customWidth="1"/>
    <col min="4377" max="4608" width="9.140625" style="1"/>
    <col min="4609" max="4609" width="5.85546875" style="1" customWidth="1"/>
    <col min="4610" max="4610" width="25.85546875" style="1" customWidth="1"/>
    <col min="4611" max="4613" width="10" style="1" customWidth="1"/>
    <col min="4614" max="4616" width="10.5703125" style="1" customWidth="1"/>
    <col min="4617" max="4617" width="11.85546875" style="1" customWidth="1"/>
    <col min="4618" max="4618" width="10" style="1" bestFit="1" customWidth="1"/>
    <col min="4619" max="4619" width="10.85546875" style="1" bestFit="1" customWidth="1"/>
    <col min="4620" max="4620" width="8.7109375" style="1" customWidth="1"/>
    <col min="4621" max="4621" width="8.7109375" style="1" bestFit="1" customWidth="1"/>
    <col min="4622" max="4622" width="8" style="1" customWidth="1"/>
    <col min="4623" max="4623" width="8.85546875" style="1" customWidth="1"/>
    <col min="4624" max="4624" width="9.85546875" style="1" customWidth="1"/>
    <col min="4625" max="4625" width="9.42578125" style="1" customWidth="1"/>
    <col min="4626" max="4626" width="10.5703125" style="1" customWidth="1"/>
    <col min="4627" max="4627" width="10.85546875" style="1" customWidth="1"/>
    <col min="4628" max="4628" width="11.140625" style="1" customWidth="1"/>
    <col min="4629" max="4629" width="12.42578125" style="1" customWidth="1"/>
    <col min="4630" max="4630" width="11.42578125" style="1" customWidth="1"/>
    <col min="4631" max="4631" width="10.85546875" style="1" customWidth="1"/>
    <col min="4632" max="4632" width="11.140625" style="1" customWidth="1"/>
    <col min="4633" max="4864" width="9.140625" style="1"/>
    <col min="4865" max="4865" width="5.85546875" style="1" customWidth="1"/>
    <col min="4866" max="4866" width="25.85546875" style="1" customWidth="1"/>
    <col min="4867" max="4869" width="10" style="1" customWidth="1"/>
    <col min="4870" max="4872" width="10.5703125" style="1" customWidth="1"/>
    <col min="4873" max="4873" width="11.85546875" style="1" customWidth="1"/>
    <col min="4874" max="4874" width="10" style="1" bestFit="1" customWidth="1"/>
    <col min="4875" max="4875" width="10.85546875" style="1" bestFit="1" customWidth="1"/>
    <col min="4876" max="4876" width="8.7109375" style="1" customWidth="1"/>
    <col min="4877" max="4877" width="8.7109375" style="1" bestFit="1" customWidth="1"/>
    <col min="4878" max="4878" width="8" style="1" customWidth="1"/>
    <col min="4879" max="4879" width="8.85546875" style="1" customWidth="1"/>
    <col min="4880" max="4880" width="9.85546875" style="1" customWidth="1"/>
    <col min="4881" max="4881" width="9.42578125" style="1" customWidth="1"/>
    <col min="4882" max="4882" width="10.5703125" style="1" customWidth="1"/>
    <col min="4883" max="4883" width="10.85546875" style="1" customWidth="1"/>
    <col min="4884" max="4884" width="11.140625" style="1" customWidth="1"/>
    <col min="4885" max="4885" width="12.42578125" style="1" customWidth="1"/>
    <col min="4886" max="4886" width="11.42578125" style="1" customWidth="1"/>
    <col min="4887" max="4887" width="10.85546875" style="1" customWidth="1"/>
    <col min="4888" max="4888" width="11.140625" style="1" customWidth="1"/>
    <col min="4889" max="5120" width="9.140625" style="1"/>
    <col min="5121" max="5121" width="5.85546875" style="1" customWidth="1"/>
    <col min="5122" max="5122" width="25.85546875" style="1" customWidth="1"/>
    <col min="5123" max="5125" width="10" style="1" customWidth="1"/>
    <col min="5126" max="5128" width="10.5703125" style="1" customWidth="1"/>
    <col min="5129" max="5129" width="11.85546875" style="1" customWidth="1"/>
    <col min="5130" max="5130" width="10" style="1" bestFit="1" customWidth="1"/>
    <col min="5131" max="5131" width="10.85546875" style="1" bestFit="1" customWidth="1"/>
    <col min="5132" max="5132" width="8.7109375" style="1" customWidth="1"/>
    <col min="5133" max="5133" width="8.7109375" style="1" bestFit="1" customWidth="1"/>
    <col min="5134" max="5134" width="8" style="1" customWidth="1"/>
    <col min="5135" max="5135" width="8.85546875" style="1" customWidth="1"/>
    <col min="5136" max="5136" width="9.85546875" style="1" customWidth="1"/>
    <col min="5137" max="5137" width="9.42578125" style="1" customWidth="1"/>
    <col min="5138" max="5138" width="10.5703125" style="1" customWidth="1"/>
    <col min="5139" max="5139" width="10.85546875" style="1" customWidth="1"/>
    <col min="5140" max="5140" width="11.140625" style="1" customWidth="1"/>
    <col min="5141" max="5141" width="12.42578125" style="1" customWidth="1"/>
    <col min="5142" max="5142" width="11.42578125" style="1" customWidth="1"/>
    <col min="5143" max="5143" width="10.85546875" style="1" customWidth="1"/>
    <col min="5144" max="5144" width="11.140625" style="1" customWidth="1"/>
    <col min="5145" max="5376" width="9.140625" style="1"/>
    <col min="5377" max="5377" width="5.85546875" style="1" customWidth="1"/>
    <col min="5378" max="5378" width="25.85546875" style="1" customWidth="1"/>
    <col min="5379" max="5381" width="10" style="1" customWidth="1"/>
    <col min="5382" max="5384" width="10.5703125" style="1" customWidth="1"/>
    <col min="5385" max="5385" width="11.85546875" style="1" customWidth="1"/>
    <col min="5386" max="5386" width="10" style="1" bestFit="1" customWidth="1"/>
    <col min="5387" max="5387" width="10.85546875" style="1" bestFit="1" customWidth="1"/>
    <col min="5388" max="5388" width="8.7109375" style="1" customWidth="1"/>
    <col min="5389" max="5389" width="8.7109375" style="1" bestFit="1" customWidth="1"/>
    <col min="5390" max="5390" width="8" style="1" customWidth="1"/>
    <col min="5391" max="5391" width="8.85546875" style="1" customWidth="1"/>
    <col min="5392" max="5392" width="9.85546875" style="1" customWidth="1"/>
    <col min="5393" max="5393" width="9.42578125" style="1" customWidth="1"/>
    <col min="5394" max="5394" width="10.5703125" style="1" customWidth="1"/>
    <col min="5395" max="5395" width="10.85546875" style="1" customWidth="1"/>
    <col min="5396" max="5396" width="11.140625" style="1" customWidth="1"/>
    <col min="5397" max="5397" width="12.42578125" style="1" customWidth="1"/>
    <col min="5398" max="5398" width="11.42578125" style="1" customWidth="1"/>
    <col min="5399" max="5399" width="10.85546875" style="1" customWidth="1"/>
    <col min="5400" max="5400" width="11.140625" style="1" customWidth="1"/>
    <col min="5401" max="5632" width="9.140625" style="1"/>
    <col min="5633" max="5633" width="5.85546875" style="1" customWidth="1"/>
    <col min="5634" max="5634" width="25.85546875" style="1" customWidth="1"/>
    <col min="5635" max="5637" width="10" style="1" customWidth="1"/>
    <col min="5638" max="5640" width="10.5703125" style="1" customWidth="1"/>
    <col min="5641" max="5641" width="11.85546875" style="1" customWidth="1"/>
    <col min="5642" max="5642" width="10" style="1" bestFit="1" customWidth="1"/>
    <col min="5643" max="5643" width="10.85546875" style="1" bestFit="1" customWidth="1"/>
    <col min="5644" max="5644" width="8.7109375" style="1" customWidth="1"/>
    <col min="5645" max="5645" width="8.7109375" style="1" bestFit="1" customWidth="1"/>
    <col min="5646" max="5646" width="8" style="1" customWidth="1"/>
    <col min="5647" max="5647" width="8.85546875" style="1" customWidth="1"/>
    <col min="5648" max="5648" width="9.85546875" style="1" customWidth="1"/>
    <col min="5649" max="5649" width="9.42578125" style="1" customWidth="1"/>
    <col min="5650" max="5650" width="10.5703125" style="1" customWidth="1"/>
    <col min="5651" max="5651" width="10.85546875" style="1" customWidth="1"/>
    <col min="5652" max="5652" width="11.140625" style="1" customWidth="1"/>
    <col min="5653" max="5653" width="12.42578125" style="1" customWidth="1"/>
    <col min="5654" max="5654" width="11.42578125" style="1" customWidth="1"/>
    <col min="5655" max="5655" width="10.85546875" style="1" customWidth="1"/>
    <col min="5656" max="5656" width="11.140625" style="1" customWidth="1"/>
    <col min="5657" max="5888" width="9.140625" style="1"/>
    <col min="5889" max="5889" width="5.85546875" style="1" customWidth="1"/>
    <col min="5890" max="5890" width="25.85546875" style="1" customWidth="1"/>
    <col min="5891" max="5893" width="10" style="1" customWidth="1"/>
    <col min="5894" max="5896" width="10.5703125" style="1" customWidth="1"/>
    <col min="5897" max="5897" width="11.85546875" style="1" customWidth="1"/>
    <col min="5898" max="5898" width="10" style="1" bestFit="1" customWidth="1"/>
    <col min="5899" max="5899" width="10.85546875" style="1" bestFit="1" customWidth="1"/>
    <col min="5900" max="5900" width="8.7109375" style="1" customWidth="1"/>
    <col min="5901" max="5901" width="8.7109375" style="1" bestFit="1" customWidth="1"/>
    <col min="5902" max="5902" width="8" style="1" customWidth="1"/>
    <col min="5903" max="5903" width="8.85546875" style="1" customWidth="1"/>
    <col min="5904" max="5904" width="9.85546875" style="1" customWidth="1"/>
    <col min="5905" max="5905" width="9.42578125" style="1" customWidth="1"/>
    <col min="5906" max="5906" width="10.5703125" style="1" customWidth="1"/>
    <col min="5907" max="5907" width="10.85546875" style="1" customWidth="1"/>
    <col min="5908" max="5908" width="11.140625" style="1" customWidth="1"/>
    <col min="5909" max="5909" width="12.42578125" style="1" customWidth="1"/>
    <col min="5910" max="5910" width="11.42578125" style="1" customWidth="1"/>
    <col min="5911" max="5911" width="10.85546875" style="1" customWidth="1"/>
    <col min="5912" max="5912" width="11.140625" style="1" customWidth="1"/>
    <col min="5913" max="6144" width="9.140625" style="1"/>
    <col min="6145" max="6145" width="5.85546875" style="1" customWidth="1"/>
    <col min="6146" max="6146" width="25.85546875" style="1" customWidth="1"/>
    <col min="6147" max="6149" width="10" style="1" customWidth="1"/>
    <col min="6150" max="6152" width="10.5703125" style="1" customWidth="1"/>
    <col min="6153" max="6153" width="11.85546875" style="1" customWidth="1"/>
    <col min="6154" max="6154" width="10" style="1" bestFit="1" customWidth="1"/>
    <col min="6155" max="6155" width="10.85546875" style="1" bestFit="1" customWidth="1"/>
    <col min="6156" max="6156" width="8.7109375" style="1" customWidth="1"/>
    <col min="6157" max="6157" width="8.7109375" style="1" bestFit="1" customWidth="1"/>
    <col min="6158" max="6158" width="8" style="1" customWidth="1"/>
    <col min="6159" max="6159" width="8.85546875" style="1" customWidth="1"/>
    <col min="6160" max="6160" width="9.85546875" style="1" customWidth="1"/>
    <col min="6161" max="6161" width="9.42578125" style="1" customWidth="1"/>
    <col min="6162" max="6162" width="10.5703125" style="1" customWidth="1"/>
    <col min="6163" max="6163" width="10.85546875" style="1" customWidth="1"/>
    <col min="6164" max="6164" width="11.140625" style="1" customWidth="1"/>
    <col min="6165" max="6165" width="12.42578125" style="1" customWidth="1"/>
    <col min="6166" max="6166" width="11.42578125" style="1" customWidth="1"/>
    <col min="6167" max="6167" width="10.85546875" style="1" customWidth="1"/>
    <col min="6168" max="6168" width="11.140625" style="1" customWidth="1"/>
    <col min="6169" max="6400" width="9.140625" style="1"/>
    <col min="6401" max="6401" width="5.85546875" style="1" customWidth="1"/>
    <col min="6402" max="6402" width="25.85546875" style="1" customWidth="1"/>
    <col min="6403" max="6405" width="10" style="1" customWidth="1"/>
    <col min="6406" max="6408" width="10.5703125" style="1" customWidth="1"/>
    <col min="6409" max="6409" width="11.85546875" style="1" customWidth="1"/>
    <col min="6410" max="6410" width="10" style="1" bestFit="1" customWidth="1"/>
    <col min="6411" max="6411" width="10.85546875" style="1" bestFit="1" customWidth="1"/>
    <col min="6412" max="6412" width="8.7109375" style="1" customWidth="1"/>
    <col min="6413" max="6413" width="8.7109375" style="1" bestFit="1" customWidth="1"/>
    <col min="6414" max="6414" width="8" style="1" customWidth="1"/>
    <col min="6415" max="6415" width="8.85546875" style="1" customWidth="1"/>
    <col min="6416" max="6416" width="9.85546875" style="1" customWidth="1"/>
    <col min="6417" max="6417" width="9.42578125" style="1" customWidth="1"/>
    <col min="6418" max="6418" width="10.5703125" style="1" customWidth="1"/>
    <col min="6419" max="6419" width="10.85546875" style="1" customWidth="1"/>
    <col min="6420" max="6420" width="11.140625" style="1" customWidth="1"/>
    <col min="6421" max="6421" width="12.42578125" style="1" customWidth="1"/>
    <col min="6422" max="6422" width="11.42578125" style="1" customWidth="1"/>
    <col min="6423" max="6423" width="10.85546875" style="1" customWidth="1"/>
    <col min="6424" max="6424" width="11.140625" style="1" customWidth="1"/>
    <col min="6425" max="6656" width="9.140625" style="1"/>
    <col min="6657" max="6657" width="5.85546875" style="1" customWidth="1"/>
    <col min="6658" max="6658" width="25.85546875" style="1" customWidth="1"/>
    <col min="6659" max="6661" width="10" style="1" customWidth="1"/>
    <col min="6662" max="6664" width="10.5703125" style="1" customWidth="1"/>
    <col min="6665" max="6665" width="11.85546875" style="1" customWidth="1"/>
    <col min="6666" max="6666" width="10" style="1" bestFit="1" customWidth="1"/>
    <col min="6667" max="6667" width="10.85546875" style="1" bestFit="1" customWidth="1"/>
    <col min="6668" max="6668" width="8.7109375" style="1" customWidth="1"/>
    <col min="6669" max="6669" width="8.7109375" style="1" bestFit="1" customWidth="1"/>
    <col min="6670" max="6670" width="8" style="1" customWidth="1"/>
    <col min="6671" max="6671" width="8.85546875" style="1" customWidth="1"/>
    <col min="6672" max="6672" width="9.85546875" style="1" customWidth="1"/>
    <col min="6673" max="6673" width="9.42578125" style="1" customWidth="1"/>
    <col min="6674" max="6674" width="10.5703125" style="1" customWidth="1"/>
    <col min="6675" max="6675" width="10.85546875" style="1" customWidth="1"/>
    <col min="6676" max="6676" width="11.140625" style="1" customWidth="1"/>
    <col min="6677" max="6677" width="12.42578125" style="1" customWidth="1"/>
    <col min="6678" max="6678" width="11.42578125" style="1" customWidth="1"/>
    <col min="6679" max="6679" width="10.85546875" style="1" customWidth="1"/>
    <col min="6680" max="6680" width="11.140625" style="1" customWidth="1"/>
    <col min="6681" max="6912" width="9.140625" style="1"/>
    <col min="6913" max="6913" width="5.85546875" style="1" customWidth="1"/>
    <col min="6914" max="6914" width="25.85546875" style="1" customWidth="1"/>
    <col min="6915" max="6917" width="10" style="1" customWidth="1"/>
    <col min="6918" max="6920" width="10.5703125" style="1" customWidth="1"/>
    <col min="6921" max="6921" width="11.85546875" style="1" customWidth="1"/>
    <col min="6922" max="6922" width="10" style="1" bestFit="1" customWidth="1"/>
    <col min="6923" max="6923" width="10.85546875" style="1" bestFit="1" customWidth="1"/>
    <col min="6924" max="6924" width="8.7109375" style="1" customWidth="1"/>
    <col min="6925" max="6925" width="8.7109375" style="1" bestFit="1" customWidth="1"/>
    <col min="6926" max="6926" width="8" style="1" customWidth="1"/>
    <col min="6927" max="6927" width="8.85546875" style="1" customWidth="1"/>
    <col min="6928" max="6928" width="9.85546875" style="1" customWidth="1"/>
    <col min="6929" max="6929" width="9.42578125" style="1" customWidth="1"/>
    <col min="6930" max="6930" width="10.5703125" style="1" customWidth="1"/>
    <col min="6931" max="6931" width="10.85546875" style="1" customWidth="1"/>
    <col min="6932" max="6932" width="11.140625" style="1" customWidth="1"/>
    <col min="6933" max="6933" width="12.42578125" style="1" customWidth="1"/>
    <col min="6934" max="6934" width="11.42578125" style="1" customWidth="1"/>
    <col min="6935" max="6935" width="10.85546875" style="1" customWidth="1"/>
    <col min="6936" max="6936" width="11.140625" style="1" customWidth="1"/>
    <col min="6937" max="7168" width="9.140625" style="1"/>
    <col min="7169" max="7169" width="5.85546875" style="1" customWidth="1"/>
    <col min="7170" max="7170" width="25.85546875" style="1" customWidth="1"/>
    <col min="7171" max="7173" width="10" style="1" customWidth="1"/>
    <col min="7174" max="7176" width="10.5703125" style="1" customWidth="1"/>
    <col min="7177" max="7177" width="11.85546875" style="1" customWidth="1"/>
    <col min="7178" max="7178" width="10" style="1" bestFit="1" customWidth="1"/>
    <col min="7179" max="7179" width="10.85546875" style="1" bestFit="1" customWidth="1"/>
    <col min="7180" max="7180" width="8.7109375" style="1" customWidth="1"/>
    <col min="7181" max="7181" width="8.7109375" style="1" bestFit="1" customWidth="1"/>
    <col min="7182" max="7182" width="8" style="1" customWidth="1"/>
    <col min="7183" max="7183" width="8.85546875" style="1" customWidth="1"/>
    <col min="7184" max="7184" width="9.85546875" style="1" customWidth="1"/>
    <col min="7185" max="7185" width="9.42578125" style="1" customWidth="1"/>
    <col min="7186" max="7186" width="10.5703125" style="1" customWidth="1"/>
    <col min="7187" max="7187" width="10.85546875" style="1" customWidth="1"/>
    <col min="7188" max="7188" width="11.140625" style="1" customWidth="1"/>
    <col min="7189" max="7189" width="12.42578125" style="1" customWidth="1"/>
    <col min="7190" max="7190" width="11.42578125" style="1" customWidth="1"/>
    <col min="7191" max="7191" width="10.85546875" style="1" customWidth="1"/>
    <col min="7192" max="7192" width="11.140625" style="1" customWidth="1"/>
    <col min="7193" max="7424" width="9.140625" style="1"/>
    <col min="7425" max="7425" width="5.85546875" style="1" customWidth="1"/>
    <col min="7426" max="7426" width="25.85546875" style="1" customWidth="1"/>
    <col min="7427" max="7429" width="10" style="1" customWidth="1"/>
    <col min="7430" max="7432" width="10.5703125" style="1" customWidth="1"/>
    <col min="7433" max="7433" width="11.85546875" style="1" customWidth="1"/>
    <col min="7434" max="7434" width="10" style="1" bestFit="1" customWidth="1"/>
    <col min="7435" max="7435" width="10.85546875" style="1" bestFit="1" customWidth="1"/>
    <col min="7436" max="7436" width="8.7109375" style="1" customWidth="1"/>
    <col min="7437" max="7437" width="8.7109375" style="1" bestFit="1" customWidth="1"/>
    <col min="7438" max="7438" width="8" style="1" customWidth="1"/>
    <col min="7439" max="7439" width="8.85546875" style="1" customWidth="1"/>
    <col min="7440" max="7440" width="9.85546875" style="1" customWidth="1"/>
    <col min="7441" max="7441" width="9.42578125" style="1" customWidth="1"/>
    <col min="7442" max="7442" width="10.5703125" style="1" customWidth="1"/>
    <col min="7443" max="7443" width="10.85546875" style="1" customWidth="1"/>
    <col min="7444" max="7444" width="11.140625" style="1" customWidth="1"/>
    <col min="7445" max="7445" width="12.42578125" style="1" customWidth="1"/>
    <col min="7446" max="7446" width="11.42578125" style="1" customWidth="1"/>
    <col min="7447" max="7447" width="10.85546875" style="1" customWidth="1"/>
    <col min="7448" max="7448" width="11.140625" style="1" customWidth="1"/>
    <col min="7449" max="7680" width="9.140625" style="1"/>
    <col min="7681" max="7681" width="5.85546875" style="1" customWidth="1"/>
    <col min="7682" max="7682" width="25.85546875" style="1" customWidth="1"/>
    <col min="7683" max="7685" width="10" style="1" customWidth="1"/>
    <col min="7686" max="7688" width="10.5703125" style="1" customWidth="1"/>
    <col min="7689" max="7689" width="11.85546875" style="1" customWidth="1"/>
    <col min="7690" max="7690" width="10" style="1" bestFit="1" customWidth="1"/>
    <col min="7691" max="7691" width="10.85546875" style="1" bestFit="1" customWidth="1"/>
    <col min="7692" max="7692" width="8.7109375" style="1" customWidth="1"/>
    <col min="7693" max="7693" width="8.7109375" style="1" bestFit="1" customWidth="1"/>
    <col min="7694" max="7694" width="8" style="1" customWidth="1"/>
    <col min="7695" max="7695" width="8.85546875" style="1" customWidth="1"/>
    <col min="7696" max="7696" width="9.85546875" style="1" customWidth="1"/>
    <col min="7697" max="7697" width="9.42578125" style="1" customWidth="1"/>
    <col min="7698" max="7698" width="10.5703125" style="1" customWidth="1"/>
    <col min="7699" max="7699" width="10.85546875" style="1" customWidth="1"/>
    <col min="7700" max="7700" width="11.140625" style="1" customWidth="1"/>
    <col min="7701" max="7701" width="12.42578125" style="1" customWidth="1"/>
    <col min="7702" max="7702" width="11.42578125" style="1" customWidth="1"/>
    <col min="7703" max="7703" width="10.85546875" style="1" customWidth="1"/>
    <col min="7704" max="7704" width="11.140625" style="1" customWidth="1"/>
    <col min="7705" max="7936" width="9.140625" style="1"/>
    <col min="7937" max="7937" width="5.85546875" style="1" customWidth="1"/>
    <col min="7938" max="7938" width="25.85546875" style="1" customWidth="1"/>
    <col min="7939" max="7941" width="10" style="1" customWidth="1"/>
    <col min="7942" max="7944" width="10.5703125" style="1" customWidth="1"/>
    <col min="7945" max="7945" width="11.85546875" style="1" customWidth="1"/>
    <col min="7946" max="7946" width="10" style="1" bestFit="1" customWidth="1"/>
    <col min="7947" max="7947" width="10.85546875" style="1" bestFit="1" customWidth="1"/>
    <col min="7948" max="7948" width="8.7109375" style="1" customWidth="1"/>
    <col min="7949" max="7949" width="8.7109375" style="1" bestFit="1" customWidth="1"/>
    <col min="7950" max="7950" width="8" style="1" customWidth="1"/>
    <col min="7951" max="7951" width="8.85546875" style="1" customWidth="1"/>
    <col min="7952" max="7952" width="9.85546875" style="1" customWidth="1"/>
    <col min="7953" max="7953" width="9.42578125" style="1" customWidth="1"/>
    <col min="7954" max="7954" width="10.5703125" style="1" customWidth="1"/>
    <col min="7955" max="7955" width="10.85546875" style="1" customWidth="1"/>
    <col min="7956" max="7956" width="11.140625" style="1" customWidth="1"/>
    <col min="7957" max="7957" width="12.42578125" style="1" customWidth="1"/>
    <col min="7958" max="7958" width="11.42578125" style="1" customWidth="1"/>
    <col min="7959" max="7959" width="10.85546875" style="1" customWidth="1"/>
    <col min="7960" max="7960" width="11.140625" style="1" customWidth="1"/>
    <col min="7961" max="8192" width="9.140625" style="1"/>
    <col min="8193" max="8193" width="5.85546875" style="1" customWidth="1"/>
    <col min="8194" max="8194" width="25.85546875" style="1" customWidth="1"/>
    <col min="8195" max="8197" width="10" style="1" customWidth="1"/>
    <col min="8198" max="8200" width="10.5703125" style="1" customWidth="1"/>
    <col min="8201" max="8201" width="11.85546875" style="1" customWidth="1"/>
    <col min="8202" max="8202" width="10" style="1" bestFit="1" customWidth="1"/>
    <col min="8203" max="8203" width="10.85546875" style="1" bestFit="1" customWidth="1"/>
    <col min="8204" max="8204" width="8.7109375" style="1" customWidth="1"/>
    <col min="8205" max="8205" width="8.7109375" style="1" bestFit="1" customWidth="1"/>
    <col min="8206" max="8206" width="8" style="1" customWidth="1"/>
    <col min="8207" max="8207" width="8.85546875" style="1" customWidth="1"/>
    <col min="8208" max="8208" width="9.85546875" style="1" customWidth="1"/>
    <col min="8209" max="8209" width="9.42578125" style="1" customWidth="1"/>
    <col min="8210" max="8210" width="10.5703125" style="1" customWidth="1"/>
    <col min="8211" max="8211" width="10.85546875" style="1" customWidth="1"/>
    <col min="8212" max="8212" width="11.140625" style="1" customWidth="1"/>
    <col min="8213" max="8213" width="12.42578125" style="1" customWidth="1"/>
    <col min="8214" max="8214" width="11.42578125" style="1" customWidth="1"/>
    <col min="8215" max="8215" width="10.85546875" style="1" customWidth="1"/>
    <col min="8216" max="8216" width="11.140625" style="1" customWidth="1"/>
    <col min="8217" max="8448" width="9.140625" style="1"/>
    <col min="8449" max="8449" width="5.85546875" style="1" customWidth="1"/>
    <col min="8450" max="8450" width="25.85546875" style="1" customWidth="1"/>
    <col min="8451" max="8453" width="10" style="1" customWidth="1"/>
    <col min="8454" max="8456" width="10.5703125" style="1" customWidth="1"/>
    <col min="8457" max="8457" width="11.85546875" style="1" customWidth="1"/>
    <col min="8458" max="8458" width="10" style="1" bestFit="1" customWidth="1"/>
    <col min="8459" max="8459" width="10.85546875" style="1" bestFit="1" customWidth="1"/>
    <col min="8460" max="8460" width="8.7109375" style="1" customWidth="1"/>
    <col min="8461" max="8461" width="8.7109375" style="1" bestFit="1" customWidth="1"/>
    <col min="8462" max="8462" width="8" style="1" customWidth="1"/>
    <col min="8463" max="8463" width="8.85546875" style="1" customWidth="1"/>
    <col min="8464" max="8464" width="9.85546875" style="1" customWidth="1"/>
    <col min="8465" max="8465" width="9.42578125" style="1" customWidth="1"/>
    <col min="8466" max="8466" width="10.5703125" style="1" customWidth="1"/>
    <col min="8467" max="8467" width="10.85546875" style="1" customWidth="1"/>
    <col min="8468" max="8468" width="11.140625" style="1" customWidth="1"/>
    <col min="8469" max="8469" width="12.42578125" style="1" customWidth="1"/>
    <col min="8470" max="8470" width="11.42578125" style="1" customWidth="1"/>
    <col min="8471" max="8471" width="10.85546875" style="1" customWidth="1"/>
    <col min="8472" max="8472" width="11.140625" style="1" customWidth="1"/>
    <col min="8473" max="8704" width="9.140625" style="1"/>
    <col min="8705" max="8705" width="5.85546875" style="1" customWidth="1"/>
    <col min="8706" max="8706" width="25.85546875" style="1" customWidth="1"/>
    <col min="8707" max="8709" width="10" style="1" customWidth="1"/>
    <col min="8710" max="8712" width="10.5703125" style="1" customWidth="1"/>
    <col min="8713" max="8713" width="11.85546875" style="1" customWidth="1"/>
    <col min="8714" max="8714" width="10" style="1" bestFit="1" customWidth="1"/>
    <col min="8715" max="8715" width="10.85546875" style="1" bestFit="1" customWidth="1"/>
    <col min="8716" max="8716" width="8.7109375" style="1" customWidth="1"/>
    <col min="8717" max="8717" width="8.7109375" style="1" bestFit="1" customWidth="1"/>
    <col min="8718" max="8718" width="8" style="1" customWidth="1"/>
    <col min="8719" max="8719" width="8.85546875" style="1" customWidth="1"/>
    <col min="8720" max="8720" width="9.85546875" style="1" customWidth="1"/>
    <col min="8721" max="8721" width="9.42578125" style="1" customWidth="1"/>
    <col min="8722" max="8722" width="10.5703125" style="1" customWidth="1"/>
    <col min="8723" max="8723" width="10.85546875" style="1" customWidth="1"/>
    <col min="8724" max="8724" width="11.140625" style="1" customWidth="1"/>
    <col min="8725" max="8725" width="12.42578125" style="1" customWidth="1"/>
    <col min="8726" max="8726" width="11.42578125" style="1" customWidth="1"/>
    <col min="8727" max="8727" width="10.85546875" style="1" customWidth="1"/>
    <col min="8728" max="8728" width="11.140625" style="1" customWidth="1"/>
    <col min="8729" max="8960" width="9.140625" style="1"/>
    <col min="8961" max="8961" width="5.85546875" style="1" customWidth="1"/>
    <col min="8962" max="8962" width="25.85546875" style="1" customWidth="1"/>
    <col min="8963" max="8965" width="10" style="1" customWidth="1"/>
    <col min="8966" max="8968" width="10.5703125" style="1" customWidth="1"/>
    <col min="8969" max="8969" width="11.85546875" style="1" customWidth="1"/>
    <col min="8970" max="8970" width="10" style="1" bestFit="1" customWidth="1"/>
    <col min="8971" max="8971" width="10.85546875" style="1" bestFit="1" customWidth="1"/>
    <col min="8972" max="8972" width="8.7109375" style="1" customWidth="1"/>
    <col min="8973" max="8973" width="8.7109375" style="1" bestFit="1" customWidth="1"/>
    <col min="8974" max="8974" width="8" style="1" customWidth="1"/>
    <col min="8975" max="8975" width="8.85546875" style="1" customWidth="1"/>
    <col min="8976" max="8976" width="9.85546875" style="1" customWidth="1"/>
    <col min="8977" max="8977" width="9.42578125" style="1" customWidth="1"/>
    <col min="8978" max="8978" width="10.5703125" style="1" customWidth="1"/>
    <col min="8979" max="8979" width="10.85546875" style="1" customWidth="1"/>
    <col min="8980" max="8980" width="11.140625" style="1" customWidth="1"/>
    <col min="8981" max="8981" width="12.42578125" style="1" customWidth="1"/>
    <col min="8982" max="8982" width="11.42578125" style="1" customWidth="1"/>
    <col min="8983" max="8983" width="10.85546875" style="1" customWidth="1"/>
    <col min="8984" max="8984" width="11.140625" style="1" customWidth="1"/>
    <col min="8985" max="9216" width="9.140625" style="1"/>
    <col min="9217" max="9217" width="5.85546875" style="1" customWidth="1"/>
    <col min="9218" max="9218" width="25.85546875" style="1" customWidth="1"/>
    <col min="9219" max="9221" width="10" style="1" customWidth="1"/>
    <col min="9222" max="9224" width="10.5703125" style="1" customWidth="1"/>
    <col min="9225" max="9225" width="11.85546875" style="1" customWidth="1"/>
    <col min="9226" max="9226" width="10" style="1" bestFit="1" customWidth="1"/>
    <col min="9227" max="9227" width="10.85546875" style="1" bestFit="1" customWidth="1"/>
    <col min="9228" max="9228" width="8.7109375" style="1" customWidth="1"/>
    <col min="9229" max="9229" width="8.7109375" style="1" bestFit="1" customWidth="1"/>
    <col min="9230" max="9230" width="8" style="1" customWidth="1"/>
    <col min="9231" max="9231" width="8.85546875" style="1" customWidth="1"/>
    <col min="9232" max="9232" width="9.85546875" style="1" customWidth="1"/>
    <col min="9233" max="9233" width="9.42578125" style="1" customWidth="1"/>
    <col min="9234" max="9234" width="10.5703125" style="1" customWidth="1"/>
    <col min="9235" max="9235" width="10.85546875" style="1" customWidth="1"/>
    <col min="9236" max="9236" width="11.140625" style="1" customWidth="1"/>
    <col min="9237" max="9237" width="12.42578125" style="1" customWidth="1"/>
    <col min="9238" max="9238" width="11.42578125" style="1" customWidth="1"/>
    <col min="9239" max="9239" width="10.85546875" style="1" customWidth="1"/>
    <col min="9240" max="9240" width="11.140625" style="1" customWidth="1"/>
    <col min="9241" max="9472" width="9.140625" style="1"/>
    <col min="9473" max="9473" width="5.85546875" style="1" customWidth="1"/>
    <col min="9474" max="9474" width="25.85546875" style="1" customWidth="1"/>
    <col min="9475" max="9477" width="10" style="1" customWidth="1"/>
    <col min="9478" max="9480" width="10.5703125" style="1" customWidth="1"/>
    <col min="9481" max="9481" width="11.85546875" style="1" customWidth="1"/>
    <col min="9482" max="9482" width="10" style="1" bestFit="1" customWidth="1"/>
    <col min="9483" max="9483" width="10.85546875" style="1" bestFit="1" customWidth="1"/>
    <col min="9484" max="9484" width="8.7109375" style="1" customWidth="1"/>
    <col min="9485" max="9485" width="8.7109375" style="1" bestFit="1" customWidth="1"/>
    <col min="9486" max="9486" width="8" style="1" customWidth="1"/>
    <col min="9487" max="9487" width="8.85546875" style="1" customWidth="1"/>
    <col min="9488" max="9488" width="9.85546875" style="1" customWidth="1"/>
    <col min="9489" max="9489" width="9.42578125" style="1" customWidth="1"/>
    <col min="9490" max="9490" width="10.5703125" style="1" customWidth="1"/>
    <col min="9491" max="9491" width="10.85546875" style="1" customWidth="1"/>
    <col min="9492" max="9492" width="11.140625" style="1" customWidth="1"/>
    <col min="9493" max="9493" width="12.42578125" style="1" customWidth="1"/>
    <col min="9494" max="9494" width="11.42578125" style="1" customWidth="1"/>
    <col min="9495" max="9495" width="10.85546875" style="1" customWidth="1"/>
    <col min="9496" max="9496" width="11.140625" style="1" customWidth="1"/>
    <col min="9497" max="9728" width="9.140625" style="1"/>
    <col min="9729" max="9729" width="5.85546875" style="1" customWidth="1"/>
    <col min="9730" max="9730" width="25.85546875" style="1" customWidth="1"/>
    <col min="9731" max="9733" width="10" style="1" customWidth="1"/>
    <col min="9734" max="9736" width="10.5703125" style="1" customWidth="1"/>
    <col min="9737" max="9737" width="11.85546875" style="1" customWidth="1"/>
    <col min="9738" max="9738" width="10" style="1" bestFit="1" customWidth="1"/>
    <col min="9739" max="9739" width="10.85546875" style="1" bestFit="1" customWidth="1"/>
    <col min="9740" max="9740" width="8.7109375" style="1" customWidth="1"/>
    <col min="9741" max="9741" width="8.7109375" style="1" bestFit="1" customWidth="1"/>
    <col min="9742" max="9742" width="8" style="1" customWidth="1"/>
    <col min="9743" max="9743" width="8.85546875" style="1" customWidth="1"/>
    <col min="9744" max="9744" width="9.85546875" style="1" customWidth="1"/>
    <col min="9745" max="9745" width="9.42578125" style="1" customWidth="1"/>
    <col min="9746" max="9746" width="10.5703125" style="1" customWidth="1"/>
    <col min="9747" max="9747" width="10.85546875" style="1" customWidth="1"/>
    <col min="9748" max="9748" width="11.140625" style="1" customWidth="1"/>
    <col min="9749" max="9749" width="12.42578125" style="1" customWidth="1"/>
    <col min="9750" max="9750" width="11.42578125" style="1" customWidth="1"/>
    <col min="9751" max="9751" width="10.85546875" style="1" customWidth="1"/>
    <col min="9752" max="9752" width="11.140625" style="1" customWidth="1"/>
    <col min="9753" max="9984" width="9.140625" style="1"/>
    <col min="9985" max="9985" width="5.85546875" style="1" customWidth="1"/>
    <col min="9986" max="9986" width="25.85546875" style="1" customWidth="1"/>
    <col min="9987" max="9989" width="10" style="1" customWidth="1"/>
    <col min="9990" max="9992" width="10.5703125" style="1" customWidth="1"/>
    <col min="9993" max="9993" width="11.85546875" style="1" customWidth="1"/>
    <col min="9994" max="9994" width="10" style="1" bestFit="1" customWidth="1"/>
    <col min="9995" max="9995" width="10.85546875" style="1" bestFit="1" customWidth="1"/>
    <col min="9996" max="9996" width="8.7109375" style="1" customWidth="1"/>
    <col min="9997" max="9997" width="8.7109375" style="1" bestFit="1" customWidth="1"/>
    <col min="9998" max="9998" width="8" style="1" customWidth="1"/>
    <col min="9999" max="9999" width="8.85546875" style="1" customWidth="1"/>
    <col min="10000" max="10000" width="9.85546875" style="1" customWidth="1"/>
    <col min="10001" max="10001" width="9.42578125" style="1" customWidth="1"/>
    <col min="10002" max="10002" width="10.5703125" style="1" customWidth="1"/>
    <col min="10003" max="10003" width="10.85546875" style="1" customWidth="1"/>
    <col min="10004" max="10004" width="11.140625" style="1" customWidth="1"/>
    <col min="10005" max="10005" width="12.42578125" style="1" customWidth="1"/>
    <col min="10006" max="10006" width="11.42578125" style="1" customWidth="1"/>
    <col min="10007" max="10007" width="10.85546875" style="1" customWidth="1"/>
    <col min="10008" max="10008" width="11.140625" style="1" customWidth="1"/>
    <col min="10009" max="10240" width="9.140625" style="1"/>
    <col min="10241" max="10241" width="5.85546875" style="1" customWidth="1"/>
    <col min="10242" max="10242" width="25.85546875" style="1" customWidth="1"/>
    <col min="10243" max="10245" width="10" style="1" customWidth="1"/>
    <col min="10246" max="10248" width="10.5703125" style="1" customWidth="1"/>
    <col min="10249" max="10249" width="11.85546875" style="1" customWidth="1"/>
    <col min="10250" max="10250" width="10" style="1" bestFit="1" customWidth="1"/>
    <col min="10251" max="10251" width="10.85546875" style="1" bestFit="1" customWidth="1"/>
    <col min="10252" max="10252" width="8.7109375" style="1" customWidth="1"/>
    <col min="10253" max="10253" width="8.7109375" style="1" bestFit="1" customWidth="1"/>
    <col min="10254" max="10254" width="8" style="1" customWidth="1"/>
    <col min="10255" max="10255" width="8.85546875" style="1" customWidth="1"/>
    <col min="10256" max="10256" width="9.85546875" style="1" customWidth="1"/>
    <col min="10257" max="10257" width="9.42578125" style="1" customWidth="1"/>
    <col min="10258" max="10258" width="10.5703125" style="1" customWidth="1"/>
    <col min="10259" max="10259" width="10.85546875" style="1" customWidth="1"/>
    <col min="10260" max="10260" width="11.140625" style="1" customWidth="1"/>
    <col min="10261" max="10261" width="12.42578125" style="1" customWidth="1"/>
    <col min="10262" max="10262" width="11.42578125" style="1" customWidth="1"/>
    <col min="10263" max="10263" width="10.85546875" style="1" customWidth="1"/>
    <col min="10264" max="10264" width="11.140625" style="1" customWidth="1"/>
    <col min="10265" max="10496" width="9.140625" style="1"/>
    <col min="10497" max="10497" width="5.85546875" style="1" customWidth="1"/>
    <col min="10498" max="10498" width="25.85546875" style="1" customWidth="1"/>
    <col min="10499" max="10501" width="10" style="1" customWidth="1"/>
    <col min="10502" max="10504" width="10.5703125" style="1" customWidth="1"/>
    <col min="10505" max="10505" width="11.85546875" style="1" customWidth="1"/>
    <col min="10506" max="10506" width="10" style="1" bestFit="1" customWidth="1"/>
    <col min="10507" max="10507" width="10.85546875" style="1" bestFit="1" customWidth="1"/>
    <col min="10508" max="10508" width="8.7109375" style="1" customWidth="1"/>
    <col min="10509" max="10509" width="8.7109375" style="1" bestFit="1" customWidth="1"/>
    <col min="10510" max="10510" width="8" style="1" customWidth="1"/>
    <col min="10511" max="10511" width="8.85546875" style="1" customWidth="1"/>
    <col min="10512" max="10512" width="9.85546875" style="1" customWidth="1"/>
    <col min="10513" max="10513" width="9.42578125" style="1" customWidth="1"/>
    <col min="10514" max="10514" width="10.5703125" style="1" customWidth="1"/>
    <col min="10515" max="10515" width="10.85546875" style="1" customWidth="1"/>
    <col min="10516" max="10516" width="11.140625" style="1" customWidth="1"/>
    <col min="10517" max="10517" width="12.42578125" style="1" customWidth="1"/>
    <col min="10518" max="10518" width="11.42578125" style="1" customWidth="1"/>
    <col min="10519" max="10519" width="10.85546875" style="1" customWidth="1"/>
    <col min="10520" max="10520" width="11.140625" style="1" customWidth="1"/>
    <col min="10521" max="10752" width="9.140625" style="1"/>
    <col min="10753" max="10753" width="5.85546875" style="1" customWidth="1"/>
    <col min="10754" max="10754" width="25.85546875" style="1" customWidth="1"/>
    <col min="10755" max="10757" width="10" style="1" customWidth="1"/>
    <col min="10758" max="10760" width="10.5703125" style="1" customWidth="1"/>
    <col min="10761" max="10761" width="11.85546875" style="1" customWidth="1"/>
    <col min="10762" max="10762" width="10" style="1" bestFit="1" customWidth="1"/>
    <col min="10763" max="10763" width="10.85546875" style="1" bestFit="1" customWidth="1"/>
    <col min="10764" max="10764" width="8.7109375" style="1" customWidth="1"/>
    <col min="10765" max="10765" width="8.7109375" style="1" bestFit="1" customWidth="1"/>
    <col min="10766" max="10766" width="8" style="1" customWidth="1"/>
    <col min="10767" max="10767" width="8.85546875" style="1" customWidth="1"/>
    <col min="10768" max="10768" width="9.85546875" style="1" customWidth="1"/>
    <col min="10769" max="10769" width="9.42578125" style="1" customWidth="1"/>
    <col min="10770" max="10770" width="10.5703125" style="1" customWidth="1"/>
    <col min="10771" max="10771" width="10.85546875" style="1" customWidth="1"/>
    <col min="10772" max="10772" width="11.140625" style="1" customWidth="1"/>
    <col min="10773" max="10773" width="12.42578125" style="1" customWidth="1"/>
    <col min="10774" max="10774" width="11.42578125" style="1" customWidth="1"/>
    <col min="10775" max="10775" width="10.85546875" style="1" customWidth="1"/>
    <col min="10776" max="10776" width="11.140625" style="1" customWidth="1"/>
    <col min="10777" max="11008" width="9.140625" style="1"/>
    <col min="11009" max="11009" width="5.85546875" style="1" customWidth="1"/>
    <col min="11010" max="11010" width="25.85546875" style="1" customWidth="1"/>
    <col min="11011" max="11013" width="10" style="1" customWidth="1"/>
    <col min="11014" max="11016" width="10.5703125" style="1" customWidth="1"/>
    <col min="11017" max="11017" width="11.85546875" style="1" customWidth="1"/>
    <col min="11018" max="11018" width="10" style="1" bestFit="1" customWidth="1"/>
    <col min="11019" max="11019" width="10.85546875" style="1" bestFit="1" customWidth="1"/>
    <col min="11020" max="11020" width="8.7109375" style="1" customWidth="1"/>
    <col min="11021" max="11021" width="8.7109375" style="1" bestFit="1" customWidth="1"/>
    <col min="11022" max="11022" width="8" style="1" customWidth="1"/>
    <col min="11023" max="11023" width="8.85546875" style="1" customWidth="1"/>
    <col min="11024" max="11024" width="9.85546875" style="1" customWidth="1"/>
    <col min="11025" max="11025" width="9.42578125" style="1" customWidth="1"/>
    <col min="11026" max="11026" width="10.5703125" style="1" customWidth="1"/>
    <col min="11027" max="11027" width="10.85546875" style="1" customWidth="1"/>
    <col min="11028" max="11028" width="11.140625" style="1" customWidth="1"/>
    <col min="11029" max="11029" width="12.42578125" style="1" customWidth="1"/>
    <col min="11030" max="11030" width="11.42578125" style="1" customWidth="1"/>
    <col min="11031" max="11031" width="10.85546875" style="1" customWidth="1"/>
    <col min="11032" max="11032" width="11.140625" style="1" customWidth="1"/>
    <col min="11033" max="11264" width="9.140625" style="1"/>
    <col min="11265" max="11265" width="5.85546875" style="1" customWidth="1"/>
    <col min="11266" max="11266" width="25.85546875" style="1" customWidth="1"/>
    <col min="11267" max="11269" width="10" style="1" customWidth="1"/>
    <col min="11270" max="11272" width="10.5703125" style="1" customWidth="1"/>
    <col min="11273" max="11273" width="11.85546875" style="1" customWidth="1"/>
    <col min="11274" max="11274" width="10" style="1" bestFit="1" customWidth="1"/>
    <col min="11275" max="11275" width="10.85546875" style="1" bestFit="1" customWidth="1"/>
    <col min="11276" max="11276" width="8.7109375" style="1" customWidth="1"/>
    <col min="11277" max="11277" width="8.7109375" style="1" bestFit="1" customWidth="1"/>
    <col min="11278" max="11278" width="8" style="1" customWidth="1"/>
    <col min="11279" max="11279" width="8.85546875" style="1" customWidth="1"/>
    <col min="11280" max="11280" width="9.85546875" style="1" customWidth="1"/>
    <col min="11281" max="11281" width="9.42578125" style="1" customWidth="1"/>
    <col min="11282" max="11282" width="10.5703125" style="1" customWidth="1"/>
    <col min="11283" max="11283" width="10.85546875" style="1" customWidth="1"/>
    <col min="11284" max="11284" width="11.140625" style="1" customWidth="1"/>
    <col min="11285" max="11285" width="12.42578125" style="1" customWidth="1"/>
    <col min="11286" max="11286" width="11.42578125" style="1" customWidth="1"/>
    <col min="11287" max="11287" width="10.85546875" style="1" customWidth="1"/>
    <col min="11288" max="11288" width="11.140625" style="1" customWidth="1"/>
    <col min="11289" max="11520" width="9.140625" style="1"/>
    <col min="11521" max="11521" width="5.85546875" style="1" customWidth="1"/>
    <col min="11522" max="11522" width="25.85546875" style="1" customWidth="1"/>
    <col min="11523" max="11525" width="10" style="1" customWidth="1"/>
    <col min="11526" max="11528" width="10.5703125" style="1" customWidth="1"/>
    <col min="11529" max="11529" width="11.85546875" style="1" customWidth="1"/>
    <col min="11530" max="11530" width="10" style="1" bestFit="1" customWidth="1"/>
    <col min="11531" max="11531" width="10.85546875" style="1" bestFit="1" customWidth="1"/>
    <col min="11532" max="11532" width="8.7109375" style="1" customWidth="1"/>
    <col min="11533" max="11533" width="8.7109375" style="1" bestFit="1" customWidth="1"/>
    <col min="11534" max="11534" width="8" style="1" customWidth="1"/>
    <col min="11535" max="11535" width="8.85546875" style="1" customWidth="1"/>
    <col min="11536" max="11536" width="9.85546875" style="1" customWidth="1"/>
    <col min="11537" max="11537" width="9.42578125" style="1" customWidth="1"/>
    <col min="11538" max="11538" width="10.5703125" style="1" customWidth="1"/>
    <col min="11539" max="11539" width="10.85546875" style="1" customWidth="1"/>
    <col min="11540" max="11540" width="11.140625" style="1" customWidth="1"/>
    <col min="11541" max="11541" width="12.42578125" style="1" customWidth="1"/>
    <col min="11542" max="11542" width="11.42578125" style="1" customWidth="1"/>
    <col min="11543" max="11543" width="10.85546875" style="1" customWidth="1"/>
    <col min="11544" max="11544" width="11.140625" style="1" customWidth="1"/>
    <col min="11545" max="11776" width="9.140625" style="1"/>
    <col min="11777" max="11777" width="5.85546875" style="1" customWidth="1"/>
    <col min="11778" max="11778" width="25.85546875" style="1" customWidth="1"/>
    <col min="11779" max="11781" width="10" style="1" customWidth="1"/>
    <col min="11782" max="11784" width="10.5703125" style="1" customWidth="1"/>
    <col min="11785" max="11785" width="11.85546875" style="1" customWidth="1"/>
    <col min="11786" max="11786" width="10" style="1" bestFit="1" customWidth="1"/>
    <col min="11787" max="11787" width="10.85546875" style="1" bestFit="1" customWidth="1"/>
    <col min="11788" max="11788" width="8.7109375" style="1" customWidth="1"/>
    <col min="11789" max="11789" width="8.7109375" style="1" bestFit="1" customWidth="1"/>
    <col min="11790" max="11790" width="8" style="1" customWidth="1"/>
    <col min="11791" max="11791" width="8.85546875" style="1" customWidth="1"/>
    <col min="11792" max="11792" width="9.85546875" style="1" customWidth="1"/>
    <col min="11793" max="11793" width="9.42578125" style="1" customWidth="1"/>
    <col min="11794" max="11794" width="10.5703125" style="1" customWidth="1"/>
    <col min="11795" max="11795" width="10.85546875" style="1" customWidth="1"/>
    <col min="11796" max="11796" width="11.140625" style="1" customWidth="1"/>
    <col min="11797" max="11797" width="12.42578125" style="1" customWidth="1"/>
    <col min="11798" max="11798" width="11.42578125" style="1" customWidth="1"/>
    <col min="11799" max="11799" width="10.85546875" style="1" customWidth="1"/>
    <col min="11800" max="11800" width="11.140625" style="1" customWidth="1"/>
    <col min="11801" max="12032" width="9.140625" style="1"/>
    <col min="12033" max="12033" width="5.85546875" style="1" customWidth="1"/>
    <col min="12034" max="12034" width="25.85546875" style="1" customWidth="1"/>
    <col min="12035" max="12037" width="10" style="1" customWidth="1"/>
    <col min="12038" max="12040" width="10.5703125" style="1" customWidth="1"/>
    <col min="12041" max="12041" width="11.85546875" style="1" customWidth="1"/>
    <col min="12042" max="12042" width="10" style="1" bestFit="1" customWidth="1"/>
    <col min="12043" max="12043" width="10.85546875" style="1" bestFit="1" customWidth="1"/>
    <col min="12044" max="12044" width="8.7109375" style="1" customWidth="1"/>
    <col min="12045" max="12045" width="8.7109375" style="1" bestFit="1" customWidth="1"/>
    <col min="12046" max="12046" width="8" style="1" customWidth="1"/>
    <col min="12047" max="12047" width="8.85546875" style="1" customWidth="1"/>
    <col min="12048" max="12048" width="9.85546875" style="1" customWidth="1"/>
    <col min="12049" max="12049" width="9.42578125" style="1" customWidth="1"/>
    <col min="12050" max="12050" width="10.5703125" style="1" customWidth="1"/>
    <col min="12051" max="12051" width="10.85546875" style="1" customWidth="1"/>
    <col min="12052" max="12052" width="11.140625" style="1" customWidth="1"/>
    <col min="12053" max="12053" width="12.42578125" style="1" customWidth="1"/>
    <col min="12054" max="12054" width="11.42578125" style="1" customWidth="1"/>
    <col min="12055" max="12055" width="10.85546875" style="1" customWidth="1"/>
    <col min="12056" max="12056" width="11.140625" style="1" customWidth="1"/>
    <col min="12057" max="12288" width="9.140625" style="1"/>
    <col min="12289" max="12289" width="5.85546875" style="1" customWidth="1"/>
    <col min="12290" max="12290" width="25.85546875" style="1" customWidth="1"/>
    <col min="12291" max="12293" width="10" style="1" customWidth="1"/>
    <col min="12294" max="12296" width="10.5703125" style="1" customWidth="1"/>
    <col min="12297" max="12297" width="11.85546875" style="1" customWidth="1"/>
    <col min="12298" max="12298" width="10" style="1" bestFit="1" customWidth="1"/>
    <col min="12299" max="12299" width="10.85546875" style="1" bestFit="1" customWidth="1"/>
    <col min="12300" max="12300" width="8.7109375" style="1" customWidth="1"/>
    <col min="12301" max="12301" width="8.7109375" style="1" bestFit="1" customWidth="1"/>
    <col min="12302" max="12302" width="8" style="1" customWidth="1"/>
    <col min="12303" max="12303" width="8.85546875" style="1" customWidth="1"/>
    <col min="12304" max="12304" width="9.85546875" style="1" customWidth="1"/>
    <col min="12305" max="12305" width="9.42578125" style="1" customWidth="1"/>
    <col min="12306" max="12306" width="10.5703125" style="1" customWidth="1"/>
    <col min="12307" max="12307" width="10.85546875" style="1" customWidth="1"/>
    <col min="12308" max="12308" width="11.140625" style="1" customWidth="1"/>
    <col min="12309" max="12309" width="12.42578125" style="1" customWidth="1"/>
    <col min="12310" max="12310" width="11.42578125" style="1" customWidth="1"/>
    <col min="12311" max="12311" width="10.85546875" style="1" customWidth="1"/>
    <col min="12312" max="12312" width="11.140625" style="1" customWidth="1"/>
    <col min="12313" max="12544" width="9.140625" style="1"/>
    <col min="12545" max="12545" width="5.85546875" style="1" customWidth="1"/>
    <col min="12546" max="12546" width="25.85546875" style="1" customWidth="1"/>
    <col min="12547" max="12549" width="10" style="1" customWidth="1"/>
    <col min="12550" max="12552" width="10.5703125" style="1" customWidth="1"/>
    <col min="12553" max="12553" width="11.85546875" style="1" customWidth="1"/>
    <col min="12554" max="12554" width="10" style="1" bestFit="1" customWidth="1"/>
    <col min="12555" max="12555" width="10.85546875" style="1" bestFit="1" customWidth="1"/>
    <col min="12556" max="12556" width="8.7109375" style="1" customWidth="1"/>
    <col min="12557" max="12557" width="8.7109375" style="1" bestFit="1" customWidth="1"/>
    <col min="12558" max="12558" width="8" style="1" customWidth="1"/>
    <col min="12559" max="12559" width="8.85546875" style="1" customWidth="1"/>
    <col min="12560" max="12560" width="9.85546875" style="1" customWidth="1"/>
    <col min="12561" max="12561" width="9.42578125" style="1" customWidth="1"/>
    <col min="12562" max="12562" width="10.5703125" style="1" customWidth="1"/>
    <col min="12563" max="12563" width="10.85546875" style="1" customWidth="1"/>
    <col min="12564" max="12564" width="11.140625" style="1" customWidth="1"/>
    <col min="12565" max="12565" width="12.42578125" style="1" customWidth="1"/>
    <col min="12566" max="12566" width="11.42578125" style="1" customWidth="1"/>
    <col min="12567" max="12567" width="10.85546875" style="1" customWidth="1"/>
    <col min="12568" max="12568" width="11.140625" style="1" customWidth="1"/>
    <col min="12569" max="12800" width="9.140625" style="1"/>
    <col min="12801" max="12801" width="5.85546875" style="1" customWidth="1"/>
    <col min="12802" max="12802" width="25.85546875" style="1" customWidth="1"/>
    <col min="12803" max="12805" width="10" style="1" customWidth="1"/>
    <col min="12806" max="12808" width="10.5703125" style="1" customWidth="1"/>
    <col min="12809" max="12809" width="11.85546875" style="1" customWidth="1"/>
    <col min="12810" max="12810" width="10" style="1" bestFit="1" customWidth="1"/>
    <col min="12811" max="12811" width="10.85546875" style="1" bestFit="1" customWidth="1"/>
    <col min="12812" max="12812" width="8.7109375" style="1" customWidth="1"/>
    <col min="12813" max="12813" width="8.7109375" style="1" bestFit="1" customWidth="1"/>
    <col min="12814" max="12814" width="8" style="1" customWidth="1"/>
    <col min="12815" max="12815" width="8.85546875" style="1" customWidth="1"/>
    <col min="12816" max="12816" width="9.85546875" style="1" customWidth="1"/>
    <col min="12817" max="12817" width="9.42578125" style="1" customWidth="1"/>
    <col min="12818" max="12818" width="10.5703125" style="1" customWidth="1"/>
    <col min="12819" max="12819" width="10.85546875" style="1" customWidth="1"/>
    <col min="12820" max="12820" width="11.140625" style="1" customWidth="1"/>
    <col min="12821" max="12821" width="12.42578125" style="1" customWidth="1"/>
    <col min="12822" max="12822" width="11.42578125" style="1" customWidth="1"/>
    <col min="12823" max="12823" width="10.85546875" style="1" customWidth="1"/>
    <col min="12824" max="12824" width="11.140625" style="1" customWidth="1"/>
    <col min="12825" max="13056" width="9.140625" style="1"/>
    <col min="13057" max="13057" width="5.85546875" style="1" customWidth="1"/>
    <col min="13058" max="13058" width="25.85546875" style="1" customWidth="1"/>
    <col min="13059" max="13061" width="10" style="1" customWidth="1"/>
    <col min="13062" max="13064" width="10.5703125" style="1" customWidth="1"/>
    <col min="13065" max="13065" width="11.85546875" style="1" customWidth="1"/>
    <col min="13066" max="13066" width="10" style="1" bestFit="1" customWidth="1"/>
    <col min="13067" max="13067" width="10.85546875" style="1" bestFit="1" customWidth="1"/>
    <col min="13068" max="13068" width="8.7109375" style="1" customWidth="1"/>
    <col min="13069" max="13069" width="8.7109375" style="1" bestFit="1" customWidth="1"/>
    <col min="13070" max="13070" width="8" style="1" customWidth="1"/>
    <col min="13071" max="13071" width="8.85546875" style="1" customWidth="1"/>
    <col min="13072" max="13072" width="9.85546875" style="1" customWidth="1"/>
    <col min="13073" max="13073" width="9.42578125" style="1" customWidth="1"/>
    <col min="13074" max="13074" width="10.5703125" style="1" customWidth="1"/>
    <col min="13075" max="13075" width="10.85546875" style="1" customWidth="1"/>
    <col min="13076" max="13076" width="11.140625" style="1" customWidth="1"/>
    <col min="13077" max="13077" width="12.42578125" style="1" customWidth="1"/>
    <col min="13078" max="13078" width="11.42578125" style="1" customWidth="1"/>
    <col min="13079" max="13079" width="10.85546875" style="1" customWidth="1"/>
    <col min="13080" max="13080" width="11.140625" style="1" customWidth="1"/>
    <col min="13081" max="13312" width="9.140625" style="1"/>
    <col min="13313" max="13313" width="5.85546875" style="1" customWidth="1"/>
    <col min="13314" max="13314" width="25.85546875" style="1" customWidth="1"/>
    <col min="13315" max="13317" width="10" style="1" customWidth="1"/>
    <col min="13318" max="13320" width="10.5703125" style="1" customWidth="1"/>
    <col min="13321" max="13321" width="11.85546875" style="1" customWidth="1"/>
    <col min="13322" max="13322" width="10" style="1" bestFit="1" customWidth="1"/>
    <col min="13323" max="13323" width="10.85546875" style="1" bestFit="1" customWidth="1"/>
    <col min="13324" max="13324" width="8.7109375" style="1" customWidth="1"/>
    <col min="13325" max="13325" width="8.7109375" style="1" bestFit="1" customWidth="1"/>
    <col min="13326" max="13326" width="8" style="1" customWidth="1"/>
    <col min="13327" max="13327" width="8.85546875" style="1" customWidth="1"/>
    <col min="13328" max="13328" width="9.85546875" style="1" customWidth="1"/>
    <col min="13329" max="13329" width="9.42578125" style="1" customWidth="1"/>
    <col min="13330" max="13330" width="10.5703125" style="1" customWidth="1"/>
    <col min="13331" max="13331" width="10.85546875" style="1" customWidth="1"/>
    <col min="13332" max="13332" width="11.140625" style="1" customWidth="1"/>
    <col min="13333" max="13333" width="12.42578125" style="1" customWidth="1"/>
    <col min="13334" max="13334" width="11.42578125" style="1" customWidth="1"/>
    <col min="13335" max="13335" width="10.85546875" style="1" customWidth="1"/>
    <col min="13336" max="13336" width="11.140625" style="1" customWidth="1"/>
    <col min="13337" max="13568" width="9.140625" style="1"/>
    <col min="13569" max="13569" width="5.85546875" style="1" customWidth="1"/>
    <col min="13570" max="13570" width="25.85546875" style="1" customWidth="1"/>
    <col min="13571" max="13573" width="10" style="1" customWidth="1"/>
    <col min="13574" max="13576" width="10.5703125" style="1" customWidth="1"/>
    <col min="13577" max="13577" width="11.85546875" style="1" customWidth="1"/>
    <col min="13578" max="13578" width="10" style="1" bestFit="1" customWidth="1"/>
    <col min="13579" max="13579" width="10.85546875" style="1" bestFit="1" customWidth="1"/>
    <col min="13580" max="13580" width="8.7109375" style="1" customWidth="1"/>
    <col min="13581" max="13581" width="8.7109375" style="1" bestFit="1" customWidth="1"/>
    <col min="13582" max="13582" width="8" style="1" customWidth="1"/>
    <col min="13583" max="13583" width="8.85546875" style="1" customWidth="1"/>
    <col min="13584" max="13584" width="9.85546875" style="1" customWidth="1"/>
    <col min="13585" max="13585" width="9.42578125" style="1" customWidth="1"/>
    <col min="13586" max="13586" width="10.5703125" style="1" customWidth="1"/>
    <col min="13587" max="13587" width="10.85546875" style="1" customWidth="1"/>
    <col min="13588" max="13588" width="11.140625" style="1" customWidth="1"/>
    <col min="13589" max="13589" width="12.42578125" style="1" customWidth="1"/>
    <col min="13590" max="13590" width="11.42578125" style="1" customWidth="1"/>
    <col min="13591" max="13591" width="10.85546875" style="1" customWidth="1"/>
    <col min="13592" max="13592" width="11.140625" style="1" customWidth="1"/>
    <col min="13593" max="13824" width="9.140625" style="1"/>
    <col min="13825" max="13825" width="5.85546875" style="1" customWidth="1"/>
    <col min="13826" max="13826" width="25.85546875" style="1" customWidth="1"/>
    <col min="13827" max="13829" width="10" style="1" customWidth="1"/>
    <col min="13830" max="13832" width="10.5703125" style="1" customWidth="1"/>
    <col min="13833" max="13833" width="11.85546875" style="1" customWidth="1"/>
    <col min="13834" max="13834" width="10" style="1" bestFit="1" customWidth="1"/>
    <col min="13835" max="13835" width="10.85546875" style="1" bestFit="1" customWidth="1"/>
    <col min="13836" max="13836" width="8.7109375" style="1" customWidth="1"/>
    <col min="13837" max="13837" width="8.7109375" style="1" bestFit="1" customWidth="1"/>
    <col min="13838" max="13838" width="8" style="1" customWidth="1"/>
    <col min="13839" max="13839" width="8.85546875" style="1" customWidth="1"/>
    <col min="13840" max="13840" width="9.85546875" style="1" customWidth="1"/>
    <col min="13841" max="13841" width="9.42578125" style="1" customWidth="1"/>
    <col min="13842" max="13842" width="10.5703125" style="1" customWidth="1"/>
    <col min="13843" max="13843" width="10.85546875" style="1" customWidth="1"/>
    <col min="13844" max="13844" width="11.140625" style="1" customWidth="1"/>
    <col min="13845" max="13845" width="12.42578125" style="1" customWidth="1"/>
    <col min="13846" max="13846" width="11.42578125" style="1" customWidth="1"/>
    <col min="13847" max="13847" width="10.85546875" style="1" customWidth="1"/>
    <col min="13848" max="13848" width="11.140625" style="1" customWidth="1"/>
    <col min="13849" max="14080" width="9.140625" style="1"/>
    <col min="14081" max="14081" width="5.85546875" style="1" customWidth="1"/>
    <col min="14082" max="14082" width="25.85546875" style="1" customWidth="1"/>
    <col min="14083" max="14085" width="10" style="1" customWidth="1"/>
    <col min="14086" max="14088" width="10.5703125" style="1" customWidth="1"/>
    <col min="14089" max="14089" width="11.85546875" style="1" customWidth="1"/>
    <col min="14090" max="14090" width="10" style="1" bestFit="1" customWidth="1"/>
    <col min="14091" max="14091" width="10.85546875" style="1" bestFit="1" customWidth="1"/>
    <col min="14092" max="14092" width="8.7109375" style="1" customWidth="1"/>
    <col min="14093" max="14093" width="8.7109375" style="1" bestFit="1" customWidth="1"/>
    <col min="14094" max="14094" width="8" style="1" customWidth="1"/>
    <col min="14095" max="14095" width="8.85546875" style="1" customWidth="1"/>
    <col min="14096" max="14096" width="9.85546875" style="1" customWidth="1"/>
    <col min="14097" max="14097" width="9.42578125" style="1" customWidth="1"/>
    <col min="14098" max="14098" width="10.5703125" style="1" customWidth="1"/>
    <col min="14099" max="14099" width="10.85546875" style="1" customWidth="1"/>
    <col min="14100" max="14100" width="11.140625" style="1" customWidth="1"/>
    <col min="14101" max="14101" width="12.42578125" style="1" customWidth="1"/>
    <col min="14102" max="14102" width="11.42578125" style="1" customWidth="1"/>
    <col min="14103" max="14103" width="10.85546875" style="1" customWidth="1"/>
    <col min="14104" max="14104" width="11.140625" style="1" customWidth="1"/>
    <col min="14105" max="14336" width="9.140625" style="1"/>
    <col min="14337" max="14337" width="5.85546875" style="1" customWidth="1"/>
    <col min="14338" max="14338" width="25.85546875" style="1" customWidth="1"/>
    <col min="14339" max="14341" width="10" style="1" customWidth="1"/>
    <col min="14342" max="14344" width="10.5703125" style="1" customWidth="1"/>
    <col min="14345" max="14345" width="11.85546875" style="1" customWidth="1"/>
    <col min="14346" max="14346" width="10" style="1" bestFit="1" customWidth="1"/>
    <col min="14347" max="14347" width="10.85546875" style="1" bestFit="1" customWidth="1"/>
    <col min="14348" max="14348" width="8.7109375" style="1" customWidth="1"/>
    <col min="14349" max="14349" width="8.7109375" style="1" bestFit="1" customWidth="1"/>
    <col min="14350" max="14350" width="8" style="1" customWidth="1"/>
    <col min="14351" max="14351" width="8.85546875" style="1" customWidth="1"/>
    <col min="14352" max="14352" width="9.85546875" style="1" customWidth="1"/>
    <col min="14353" max="14353" width="9.42578125" style="1" customWidth="1"/>
    <col min="14354" max="14354" width="10.5703125" style="1" customWidth="1"/>
    <col min="14355" max="14355" width="10.85546875" style="1" customWidth="1"/>
    <col min="14356" max="14356" width="11.140625" style="1" customWidth="1"/>
    <col min="14357" max="14357" width="12.42578125" style="1" customWidth="1"/>
    <col min="14358" max="14358" width="11.42578125" style="1" customWidth="1"/>
    <col min="14359" max="14359" width="10.85546875" style="1" customWidth="1"/>
    <col min="14360" max="14360" width="11.140625" style="1" customWidth="1"/>
    <col min="14361" max="14592" width="9.140625" style="1"/>
    <col min="14593" max="14593" width="5.85546875" style="1" customWidth="1"/>
    <col min="14594" max="14594" width="25.85546875" style="1" customWidth="1"/>
    <col min="14595" max="14597" width="10" style="1" customWidth="1"/>
    <col min="14598" max="14600" width="10.5703125" style="1" customWidth="1"/>
    <col min="14601" max="14601" width="11.85546875" style="1" customWidth="1"/>
    <col min="14602" max="14602" width="10" style="1" bestFit="1" customWidth="1"/>
    <col min="14603" max="14603" width="10.85546875" style="1" bestFit="1" customWidth="1"/>
    <col min="14604" max="14604" width="8.7109375" style="1" customWidth="1"/>
    <col min="14605" max="14605" width="8.7109375" style="1" bestFit="1" customWidth="1"/>
    <col min="14606" max="14606" width="8" style="1" customWidth="1"/>
    <col min="14607" max="14607" width="8.85546875" style="1" customWidth="1"/>
    <col min="14608" max="14608" width="9.85546875" style="1" customWidth="1"/>
    <col min="14609" max="14609" width="9.42578125" style="1" customWidth="1"/>
    <col min="14610" max="14610" width="10.5703125" style="1" customWidth="1"/>
    <col min="14611" max="14611" width="10.85546875" style="1" customWidth="1"/>
    <col min="14612" max="14612" width="11.140625" style="1" customWidth="1"/>
    <col min="14613" max="14613" width="12.42578125" style="1" customWidth="1"/>
    <col min="14614" max="14614" width="11.42578125" style="1" customWidth="1"/>
    <col min="14615" max="14615" width="10.85546875" style="1" customWidth="1"/>
    <col min="14616" max="14616" width="11.140625" style="1" customWidth="1"/>
    <col min="14617" max="14848" width="9.140625" style="1"/>
    <col min="14849" max="14849" width="5.85546875" style="1" customWidth="1"/>
    <col min="14850" max="14850" width="25.85546875" style="1" customWidth="1"/>
    <col min="14851" max="14853" width="10" style="1" customWidth="1"/>
    <col min="14854" max="14856" width="10.5703125" style="1" customWidth="1"/>
    <col min="14857" max="14857" width="11.85546875" style="1" customWidth="1"/>
    <col min="14858" max="14858" width="10" style="1" bestFit="1" customWidth="1"/>
    <col min="14859" max="14859" width="10.85546875" style="1" bestFit="1" customWidth="1"/>
    <col min="14860" max="14860" width="8.7109375" style="1" customWidth="1"/>
    <col min="14861" max="14861" width="8.7109375" style="1" bestFit="1" customWidth="1"/>
    <col min="14862" max="14862" width="8" style="1" customWidth="1"/>
    <col min="14863" max="14863" width="8.85546875" style="1" customWidth="1"/>
    <col min="14864" max="14864" width="9.85546875" style="1" customWidth="1"/>
    <col min="14865" max="14865" width="9.42578125" style="1" customWidth="1"/>
    <col min="14866" max="14866" width="10.5703125" style="1" customWidth="1"/>
    <col min="14867" max="14867" width="10.85546875" style="1" customWidth="1"/>
    <col min="14868" max="14868" width="11.140625" style="1" customWidth="1"/>
    <col min="14869" max="14869" width="12.42578125" style="1" customWidth="1"/>
    <col min="14870" max="14870" width="11.42578125" style="1" customWidth="1"/>
    <col min="14871" max="14871" width="10.85546875" style="1" customWidth="1"/>
    <col min="14872" max="14872" width="11.140625" style="1" customWidth="1"/>
    <col min="14873" max="15104" width="9.140625" style="1"/>
    <col min="15105" max="15105" width="5.85546875" style="1" customWidth="1"/>
    <col min="15106" max="15106" width="25.85546875" style="1" customWidth="1"/>
    <col min="15107" max="15109" width="10" style="1" customWidth="1"/>
    <col min="15110" max="15112" width="10.5703125" style="1" customWidth="1"/>
    <col min="15113" max="15113" width="11.85546875" style="1" customWidth="1"/>
    <col min="15114" max="15114" width="10" style="1" bestFit="1" customWidth="1"/>
    <col min="15115" max="15115" width="10.85546875" style="1" bestFit="1" customWidth="1"/>
    <col min="15116" max="15116" width="8.7109375" style="1" customWidth="1"/>
    <col min="15117" max="15117" width="8.7109375" style="1" bestFit="1" customWidth="1"/>
    <col min="15118" max="15118" width="8" style="1" customWidth="1"/>
    <col min="15119" max="15119" width="8.85546875" style="1" customWidth="1"/>
    <col min="15120" max="15120" width="9.85546875" style="1" customWidth="1"/>
    <col min="15121" max="15121" width="9.42578125" style="1" customWidth="1"/>
    <col min="15122" max="15122" width="10.5703125" style="1" customWidth="1"/>
    <col min="15123" max="15123" width="10.85546875" style="1" customWidth="1"/>
    <col min="15124" max="15124" width="11.140625" style="1" customWidth="1"/>
    <col min="15125" max="15125" width="12.42578125" style="1" customWidth="1"/>
    <col min="15126" max="15126" width="11.42578125" style="1" customWidth="1"/>
    <col min="15127" max="15127" width="10.85546875" style="1" customWidth="1"/>
    <col min="15128" max="15128" width="11.140625" style="1" customWidth="1"/>
    <col min="15129" max="15360" width="9.140625" style="1"/>
    <col min="15361" max="15361" width="5.85546875" style="1" customWidth="1"/>
    <col min="15362" max="15362" width="25.85546875" style="1" customWidth="1"/>
    <col min="15363" max="15365" width="10" style="1" customWidth="1"/>
    <col min="15366" max="15368" width="10.5703125" style="1" customWidth="1"/>
    <col min="15369" max="15369" width="11.85546875" style="1" customWidth="1"/>
    <col min="15370" max="15370" width="10" style="1" bestFit="1" customWidth="1"/>
    <col min="15371" max="15371" width="10.85546875" style="1" bestFit="1" customWidth="1"/>
    <col min="15372" max="15372" width="8.7109375" style="1" customWidth="1"/>
    <col min="15373" max="15373" width="8.7109375" style="1" bestFit="1" customWidth="1"/>
    <col min="15374" max="15374" width="8" style="1" customWidth="1"/>
    <col min="15375" max="15375" width="8.85546875" style="1" customWidth="1"/>
    <col min="15376" max="15376" width="9.85546875" style="1" customWidth="1"/>
    <col min="15377" max="15377" width="9.42578125" style="1" customWidth="1"/>
    <col min="15378" max="15378" width="10.5703125" style="1" customWidth="1"/>
    <col min="15379" max="15379" width="10.85546875" style="1" customWidth="1"/>
    <col min="15380" max="15380" width="11.140625" style="1" customWidth="1"/>
    <col min="15381" max="15381" width="12.42578125" style="1" customWidth="1"/>
    <col min="15382" max="15382" width="11.42578125" style="1" customWidth="1"/>
    <col min="15383" max="15383" width="10.85546875" style="1" customWidth="1"/>
    <col min="15384" max="15384" width="11.140625" style="1" customWidth="1"/>
    <col min="15385" max="15616" width="9.140625" style="1"/>
    <col min="15617" max="15617" width="5.85546875" style="1" customWidth="1"/>
    <col min="15618" max="15618" width="25.85546875" style="1" customWidth="1"/>
    <col min="15619" max="15621" width="10" style="1" customWidth="1"/>
    <col min="15622" max="15624" width="10.5703125" style="1" customWidth="1"/>
    <col min="15625" max="15625" width="11.85546875" style="1" customWidth="1"/>
    <col min="15626" max="15626" width="10" style="1" bestFit="1" customWidth="1"/>
    <col min="15627" max="15627" width="10.85546875" style="1" bestFit="1" customWidth="1"/>
    <col min="15628" max="15628" width="8.7109375" style="1" customWidth="1"/>
    <col min="15629" max="15629" width="8.7109375" style="1" bestFit="1" customWidth="1"/>
    <col min="15630" max="15630" width="8" style="1" customWidth="1"/>
    <col min="15631" max="15631" width="8.85546875" style="1" customWidth="1"/>
    <col min="15632" max="15632" width="9.85546875" style="1" customWidth="1"/>
    <col min="15633" max="15633" width="9.42578125" style="1" customWidth="1"/>
    <col min="15634" max="15634" width="10.5703125" style="1" customWidth="1"/>
    <col min="15635" max="15635" width="10.85546875" style="1" customWidth="1"/>
    <col min="15636" max="15636" width="11.140625" style="1" customWidth="1"/>
    <col min="15637" max="15637" width="12.42578125" style="1" customWidth="1"/>
    <col min="15638" max="15638" width="11.42578125" style="1" customWidth="1"/>
    <col min="15639" max="15639" width="10.85546875" style="1" customWidth="1"/>
    <col min="15640" max="15640" width="11.140625" style="1" customWidth="1"/>
    <col min="15641" max="15872" width="9.140625" style="1"/>
    <col min="15873" max="15873" width="5.85546875" style="1" customWidth="1"/>
    <col min="15874" max="15874" width="25.85546875" style="1" customWidth="1"/>
    <col min="15875" max="15877" width="10" style="1" customWidth="1"/>
    <col min="15878" max="15880" width="10.5703125" style="1" customWidth="1"/>
    <col min="15881" max="15881" width="11.85546875" style="1" customWidth="1"/>
    <col min="15882" max="15882" width="10" style="1" bestFit="1" customWidth="1"/>
    <col min="15883" max="15883" width="10.85546875" style="1" bestFit="1" customWidth="1"/>
    <col min="15884" max="15884" width="8.7109375" style="1" customWidth="1"/>
    <col min="15885" max="15885" width="8.7109375" style="1" bestFit="1" customWidth="1"/>
    <col min="15886" max="15886" width="8" style="1" customWidth="1"/>
    <col min="15887" max="15887" width="8.85546875" style="1" customWidth="1"/>
    <col min="15888" max="15888" width="9.85546875" style="1" customWidth="1"/>
    <col min="15889" max="15889" width="9.42578125" style="1" customWidth="1"/>
    <col min="15890" max="15890" width="10.5703125" style="1" customWidth="1"/>
    <col min="15891" max="15891" width="10.85546875" style="1" customWidth="1"/>
    <col min="15892" max="15892" width="11.140625" style="1" customWidth="1"/>
    <col min="15893" max="15893" width="12.42578125" style="1" customWidth="1"/>
    <col min="15894" max="15894" width="11.42578125" style="1" customWidth="1"/>
    <col min="15895" max="15895" width="10.85546875" style="1" customWidth="1"/>
    <col min="15896" max="15896" width="11.140625" style="1" customWidth="1"/>
    <col min="15897" max="16128" width="9.140625" style="1"/>
    <col min="16129" max="16129" width="5.85546875" style="1" customWidth="1"/>
    <col min="16130" max="16130" width="25.85546875" style="1" customWidth="1"/>
    <col min="16131" max="16133" width="10" style="1" customWidth="1"/>
    <col min="16134" max="16136" width="10.5703125" style="1" customWidth="1"/>
    <col min="16137" max="16137" width="11.85546875" style="1" customWidth="1"/>
    <col min="16138" max="16138" width="10" style="1" bestFit="1" customWidth="1"/>
    <col min="16139" max="16139" width="10.85546875" style="1" bestFit="1" customWidth="1"/>
    <col min="16140" max="16140" width="8.7109375" style="1" customWidth="1"/>
    <col min="16141" max="16141" width="8.7109375" style="1" bestFit="1" customWidth="1"/>
    <col min="16142" max="16142" width="8" style="1" customWidth="1"/>
    <col min="16143" max="16143" width="8.85546875" style="1" customWidth="1"/>
    <col min="16144" max="16144" width="9.85546875" style="1" customWidth="1"/>
    <col min="16145" max="16145" width="9.42578125" style="1" customWidth="1"/>
    <col min="16146" max="16146" width="10.5703125" style="1" customWidth="1"/>
    <col min="16147" max="16147" width="10.85546875" style="1" customWidth="1"/>
    <col min="16148" max="16148" width="11.140625" style="1" customWidth="1"/>
    <col min="16149" max="16149" width="12.42578125" style="1" customWidth="1"/>
    <col min="16150" max="16150" width="11.42578125" style="1" customWidth="1"/>
    <col min="16151" max="16151" width="10.85546875" style="1" customWidth="1"/>
    <col min="16152" max="16152" width="11.140625" style="1" customWidth="1"/>
    <col min="16153" max="16384" width="9.140625" style="1"/>
  </cols>
  <sheetData>
    <row r="1" spans="1:24" hidden="1" x14ac:dyDescent="0.2">
      <c r="A1" s="1" t="s">
        <v>0</v>
      </c>
    </row>
    <row r="2" spans="1:24" hidden="1" x14ac:dyDescent="0.2">
      <c r="A2" s="9" t="s">
        <v>1</v>
      </c>
      <c r="B2" s="9"/>
    </row>
    <row r="3" spans="1:24" x14ac:dyDescent="0.2">
      <c r="A3" s="10" t="s">
        <v>2</v>
      </c>
      <c r="B3" s="9"/>
    </row>
    <row r="4" spans="1:24" ht="15" customHeight="1" x14ac:dyDescent="0.2">
      <c r="A4" s="11" t="s">
        <v>3</v>
      </c>
      <c r="B4" s="12"/>
      <c r="P4" s="13"/>
      <c r="Q4" s="8"/>
    </row>
    <row r="5" spans="1:24" ht="15" customHeight="1" x14ac:dyDescent="0.2">
      <c r="A5" s="14" t="s">
        <v>4</v>
      </c>
      <c r="B5" s="15"/>
      <c r="E5" s="399" t="s">
        <v>190</v>
      </c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</row>
    <row r="6" spans="1:24" ht="12" thickBot="1" x14ac:dyDescent="0.25">
      <c r="A6" s="15" t="s">
        <v>5</v>
      </c>
      <c r="B6" s="15"/>
      <c r="C6" s="15"/>
      <c r="D6" s="15"/>
      <c r="E6" s="16"/>
      <c r="F6" s="17"/>
      <c r="G6" s="17"/>
      <c r="H6" s="17"/>
      <c r="I6" s="18"/>
      <c r="J6" s="18"/>
      <c r="K6" s="18"/>
    </row>
    <row r="7" spans="1:24" ht="13.9" customHeight="1" x14ac:dyDescent="0.2">
      <c r="A7" s="19"/>
      <c r="B7" s="20"/>
      <c r="C7" s="21"/>
      <c r="D7" s="22"/>
      <c r="E7" s="23"/>
      <c r="F7" s="22"/>
      <c r="G7" s="24"/>
      <c r="H7" s="25"/>
      <c r="I7" s="401" t="s">
        <v>6</v>
      </c>
      <c r="J7" s="402"/>
      <c r="K7" s="402"/>
      <c r="L7" s="402"/>
      <c r="M7" s="402"/>
      <c r="N7" s="402"/>
      <c r="O7" s="402"/>
      <c r="P7" s="402"/>
      <c r="Q7" s="402"/>
      <c r="R7" s="26"/>
      <c r="S7" s="27"/>
      <c r="T7" s="28"/>
      <c r="U7" s="29"/>
      <c r="V7" s="403" t="s">
        <v>7</v>
      </c>
      <c r="W7" s="404"/>
      <c r="X7" s="405"/>
    </row>
    <row r="8" spans="1:24" ht="46.5" customHeight="1" x14ac:dyDescent="0.2">
      <c r="A8" s="30"/>
      <c r="B8" s="31" t="s">
        <v>8</v>
      </c>
      <c r="C8" s="32" t="s">
        <v>9</v>
      </c>
      <c r="D8" s="32" t="s">
        <v>10</v>
      </c>
      <c r="E8" s="32" t="s">
        <v>11</v>
      </c>
      <c r="F8" s="33" t="s">
        <v>12</v>
      </c>
      <c r="G8" s="34" t="s">
        <v>13</v>
      </c>
      <c r="H8" s="35" t="s">
        <v>14</v>
      </c>
      <c r="I8" s="36" t="s">
        <v>191</v>
      </c>
      <c r="J8" s="37" t="s">
        <v>15</v>
      </c>
      <c r="K8" s="38" t="s">
        <v>16</v>
      </c>
      <c r="L8" s="38" t="s">
        <v>17</v>
      </c>
      <c r="M8" s="38" t="s">
        <v>18</v>
      </c>
      <c r="N8" s="38" t="s">
        <v>19</v>
      </c>
      <c r="O8" s="39" t="s">
        <v>20</v>
      </c>
      <c r="P8" s="40" t="s">
        <v>21</v>
      </c>
      <c r="Q8" s="41" t="s">
        <v>22</v>
      </c>
      <c r="R8" s="42" t="s">
        <v>23</v>
      </c>
      <c r="S8" s="43" t="s">
        <v>24</v>
      </c>
      <c r="T8" s="33" t="s">
        <v>25</v>
      </c>
      <c r="U8" s="44" t="s">
        <v>26</v>
      </c>
      <c r="V8" s="45" t="s">
        <v>27</v>
      </c>
      <c r="W8" s="43" t="s">
        <v>28</v>
      </c>
      <c r="X8" s="38" t="s">
        <v>29</v>
      </c>
    </row>
    <row r="9" spans="1:24" x14ac:dyDescent="0.2">
      <c r="A9" s="46">
        <v>0</v>
      </c>
      <c r="B9" s="47">
        <v>1</v>
      </c>
      <c r="C9" s="48">
        <v>2</v>
      </c>
      <c r="D9" s="48">
        <v>3</v>
      </c>
      <c r="E9" s="48">
        <v>4</v>
      </c>
      <c r="F9" s="49">
        <v>5</v>
      </c>
      <c r="G9" s="50">
        <v>6</v>
      </c>
      <c r="H9" s="51" t="s">
        <v>30</v>
      </c>
      <c r="I9" s="52">
        <v>7</v>
      </c>
      <c r="J9" s="53">
        <v>8</v>
      </c>
      <c r="K9" s="48">
        <v>9</v>
      </c>
      <c r="L9" s="48">
        <v>10</v>
      </c>
      <c r="M9" s="48">
        <v>11</v>
      </c>
      <c r="N9" s="48">
        <v>12</v>
      </c>
      <c r="O9" s="54" t="s">
        <v>31</v>
      </c>
      <c r="P9" s="55" t="s">
        <v>32</v>
      </c>
      <c r="Q9" s="56">
        <v>15</v>
      </c>
      <c r="R9" s="57">
        <v>16</v>
      </c>
      <c r="S9" s="58">
        <v>17</v>
      </c>
      <c r="T9" s="49">
        <v>18</v>
      </c>
      <c r="U9" s="59">
        <v>7.5345000000000004</v>
      </c>
      <c r="V9" s="60"/>
      <c r="W9" s="58">
        <v>17</v>
      </c>
      <c r="X9" s="48">
        <v>18</v>
      </c>
    </row>
    <row r="10" spans="1:24" ht="12.2" customHeight="1" x14ac:dyDescent="0.2">
      <c r="A10" s="61">
        <v>3111</v>
      </c>
      <c r="B10" s="62" t="s">
        <v>33</v>
      </c>
      <c r="C10" s="63">
        <v>4961976.09</v>
      </c>
      <c r="D10" s="63">
        <v>4911774.37</v>
      </c>
      <c r="E10" s="64">
        <v>4699905.21</v>
      </c>
      <c r="F10" s="64">
        <v>4731182.93</v>
      </c>
      <c r="G10" s="65">
        <v>5320000</v>
      </c>
      <c r="H10" s="66">
        <f>G10/$U$9</f>
        <v>706085.34076581057</v>
      </c>
      <c r="I10" s="67">
        <v>6345676</v>
      </c>
      <c r="J10" s="68">
        <v>2967060</v>
      </c>
      <c r="K10" s="69">
        <f>P10*0.57</f>
        <v>1925811.1199999999</v>
      </c>
      <c r="L10" s="69">
        <f>P10*0.23</f>
        <v>777081.68</v>
      </c>
      <c r="M10" s="69">
        <f>P10*0.14</f>
        <v>473006.24000000005</v>
      </c>
      <c r="N10" s="69">
        <f>P10*0.06</f>
        <v>202716.96</v>
      </c>
      <c r="O10" s="70">
        <f>L10+M10+N10</f>
        <v>1452804.8800000001</v>
      </c>
      <c r="P10" s="71">
        <f>I10-J10-Q10</f>
        <v>3378616</v>
      </c>
      <c r="Q10" s="69">
        <v>0</v>
      </c>
      <c r="R10" s="72">
        <f>I10-G10</f>
        <v>1025676</v>
      </c>
      <c r="S10" s="73">
        <v>6379800</v>
      </c>
      <c r="T10" s="74">
        <v>6415566</v>
      </c>
      <c r="U10" s="75">
        <f>I10/$U$9</f>
        <v>842215.94000929059</v>
      </c>
      <c r="V10" s="76">
        <f>U10</f>
        <v>842215.94000929059</v>
      </c>
      <c r="W10" s="73">
        <f>S10/$U$9</f>
        <v>846744.97312363121</v>
      </c>
      <c r="X10" s="73">
        <f>T10/$U$9</f>
        <v>851491.93708938872</v>
      </c>
    </row>
    <row r="11" spans="1:24" ht="12.2" customHeight="1" x14ac:dyDescent="0.2">
      <c r="A11" s="77">
        <v>311</v>
      </c>
      <c r="B11" s="78" t="s">
        <v>34</v>
      </c>
      <c r="C11" s="79">
        <f t="shared" ref="C11:V11" si="0">C10</f>
        <v>4961976.09</v>
      </c>
      <c r="D11" s="79">
        <f t="shared" si="0"/>
        <v>4911774.37</v>
      </c>
      <c r="E11" s="79">
        <f t="shared" si="0"/>
        <v>4699905.21</v>
      </c>
      <c r="F11" s="79">
        <f t="shared" si="0"/>
        <v>4731182.93</v>
      </c>
      <c r="G11" s="80">
        <f>G10</f>
        <v>5320000</v>
      </c>
      <c r="H11" s="81">
        <f>H10</f>
        <v>706085.34076581057</v>
      </c>
      <c r="I11" s="82">
        <f t="shared" si="0"/>
        <v>6345676</v>
      </c>
      <c r="J11" s="83">
        <f t="shared" si="0"/>
        <v>2967060</v>
      </c>
      <c r="K11" s="84">
        <f t="shared" si="0"/>
        <v>1925811.1199999999</v>
      </c>
      <c r="L11" s="84">
        <f t="shared" si="0"/>
        <v>777081.68</v>
      </c>
      <c r="M11" s="84">
        <f t="shared" si="0"/>
        <v>473006.24000000005</v>
      </c>
      <c r="N11" s="84">
        <f t="shared" si="0"/>
        <v>202716.96</v>
      </c>
      <c r="O11" s="85">
        <f t="shared" ref="O11:O55" si="1">L11+M11+N11</f>
        <v>1452804.8800000001</v>
      </c>
      <c r="P11" s="86">
        <f t="shared" si="0"/>
        <v>3378616</v>
      </c>
      <c r="Q11" s="87">
        <f t="shared" si="0"/>
        <v>0</v>
      </c>
      <c r="R11" s="88">
        <f t="shared" si="0"/>
        <v>1025676</v>
      </c>
      <c r="S11" s="89">
        <f>S10</f>
        <v>6379800</v>
      </c>
      <c r="T11" s="90">
        <f>T10</f>
        <v>6415566</v>
      </c>
      <c r="U11" s="91">
        <f>U10</f>
        <v>842215.94000929059</v>
      </c>
      <c r="V11" s="92">
        <f t="shared" si="0"/>
        <v>842215.94000929059</v>
      </c>
      <c r="W11" s="89">
        <f>W10</f>
        <v>846744.97312363121</v>
      </c>
      <c r="X11" s="84">
        <f>X10</f>
        <v>851491.93708938872</v>
      </c>
    </row>
    <row r="12" spans="1:24" ht="12.2" customHeight="1" x14ac:dyDescent="0.2">
      <c r="A12" s="61">
        <v>3131</v>
      </c>
      <c r="B12" s="62" t="s">
        <v>35</v>
      </c>
      <c r="C12" s="63">
        <v>378056.32</v>
      </c>
      <c r="D12" s="63">
        <v>374377.13</v>
      </c>
      <c r="E12" s="63">
        <v>355760.77</v>
      </c>
      <c r="F12" s="63">
        <v>358501.09</v>
      </c>
      <c r="G12" s="65">
        <v>420000</v>
      </c>
      <c r="H12" s="66">
        <f>G12/$U$9</f>
        <v>55743.57953414294</v>
      </c>
      <c r="I12" s="67">
        <v>503900</v>
      </c>
      <c r="J12" s="68">
        <v>241730</v>
      </c>
      <c r="K12" s="69">
        <f>P12*0.57</f>
        <v>149436.9</v>
      </c>
      <c r="L12" s="69">
        <f>P12*0.23</f>
        <v>60299.100000000006</v>
      </c>
      <c r="M12" s="69">
        <f>P12*0.14</f>
        <v>36703.800000000003</v>
      </c>
      <c r="N12" s="69">
        <f>P12*0.06</f>
        <v>15730.199999999999</v>
      </c>
      <c r="O12" s="70">
        <f t="shared" si="1"/>
        <v>112733.1</v>
      </c>
      <c r="P12" s="71">
        <f>I12-J12-Q12</f>
        <v>262170</v>
      </c>
      <c r="Q12" s="69">
        <v>0</v>
      </c>
      <c r="R12" s="72">
        <f>I12-G12</f>
        <v>83900</v>
      </c>
      <c r="S12" s="73">
        <v>506522</v>
      </c>
      <c r="T12" s="74">
        <v>499997</v>
      </c>
      <c r="U12" s="91">
        <f>I12/$U$9</f>
        <v>66879.023160130062</v>
      </c>
      <c r="V12" s="76">
        <f t="shared" ref="V12:V66" si="2">U12</f>
        <v>66879.023160130062</v>
      </c>
      <c r="W12" s="73">
        <f>S12/$U$9</f>
        <v>67227.022363793221</v>
      </c>
      <c r="X12" s="73">
        <f>T12/$U$9</f>
        <v>66361.006038887776</v>
      </c>
    </row>
    <row r="13" spans="1:24" ht="12.2" customHeight="1" x14ac:dyDescent="0.2">
      <c r="A13" s="61">
        <v>3132</v>
      </c>
      <c r="B13" s="93" t="s">
        <v>36</v>
      </c>
      <c r="C13" s="63">
        <v>738559.41</v>
      </c>
      <c r="D13" s="63">
        <v>762291.98</v>
      </c>
      <c r="E13" s="63">
        <v>728043.93</v>
      </c>
      <c r="F13" s="63">
        <v>724318.42</v>
      </c>
      <c r="G13" s="65">
        <v>880000</v>
      </c>
      <c r="H13" s="66">
        <f>G13/$U$9</f>
        <v>116796.07140487092</v>
      </c>
      <c r="I13" s="67">
        <v>1050430</v>
      </c>
      <c r="J13" s="68">
        <v>508720</v>
      </c>
      <c r="K13" s="69">
        <f>P13*0.57</f>
        <v>308774.69999999995</v>
      </c>
      <c r="L13" s="69">
        <f>P13*0.23</f>
        <v>124593.3</v>
      </c>
      <c r="M13" s="69">
        <f>P13*0.14</f>
        <v>75839.400000000009</v>
      </c>
      <c r="N13" s="69">
        <f>P13*0.06</f>
        <v>32502.6</v>
      </c>
      <c r="O13" s="70">
        <f t="shared" si="1"/>
        <v>232935.30000000002</v>
      </c>
      <c r="P13" s="71">
        <f>I13-J13-Q13</f>
        <v>541710</v>
      </c>
      <c r="Q13" s="69">
        <v>0</v>
      </c>
      <c r="R13" s="72">
        <f>I13-G13</f>
        <v>170430</v>
      </c>
      <c r="S13" s="73">
        <v>1055847</v>
      </c>
      <c r="T13" s="74">
        <v>1040002</v>
      </c>
      <c r="U13" s="91">
        <f t="shared" ref="U13:U67" si="3">I13/$U$9</f>
        <v>139416.01964297565</v>
      </c>
      <c r="V13" s="76">
        <f t="shared" si="2"/>
        <v>139416.01964297565</v>
      </c>
      <c r="W13" s="73">
        <f>S13/$U$9</f>
        <v>140134.97909615768</v>
      </c>
      <c r="X13" s="73">
        <f>T13/$U$9</f>
        <v>138031.98619682793</v>
      </c>
    </row>
    <row r="14" spans="1:24" ht="12.2" customHeight="1" x14ac:dyDescent="0.2">
      <c r="A14" s="61">
        <v>3133</v>
      </c>
      <c r="B14" s="62" t="s">
        <v>37</v>
      </c>
      <c r="C14" s="63">
        <v>81003.12</v>
      </c>
      <c r="D14" s="63">
        <v>6442.51</v>
      </c>
      <c r="E14" s="63">
        <v>0</v>
      </c>
      <c r="F14" s="63">
        <v>0</v>
      </c>
      <c r="G14" s="65">
        <v>0</v>
      </c>
      <c r="H14" s="66">
        <f>G14/$U$9</f>
        <v>0</v>
      </c>
      <c r="I14" s="67">
        <v>0</v>
      </c>
      <c r="J14" s="68">
        <v>0</v>
      </c>
      <c r="K14" s="69">
        <f>P14*0.57</f>
        <v>0</v>
      </c>
      <c r="L14" s="69">
        <f>P14*0.23</f>
        <v>0</v>
      </c>
      <c r="M14" s="69">
        <f>P14*0.14</f>
        <v>0</v>
      </c>
      <c r="N14" s="69">
        <f>P14*0.06</f>
        <v>0</v>
      </c>
      <c r="O14" s="70">
        <f t="shared" si="1"/>
        <v>0</v>
      </c>
      <c r="P14" s="71">
        <f>I14-J14-Q14</f>
        <v>0</v>
      </c>
      <c r="Q14" s="69">
        <v>0</v>
      </c>
      <c r="R14" s="72">
        <f>I14-G14</f>
        <v>0</v>
      </c>
      <c r="S14" s="73">
        <v>0</v>
      </c>
      <c r="T14" s="74">
        <f>I14+R14+S14</f>
        <v>0</v>
      </c>
      <c r="U14" s="91">
        <f t="shared" si="3"/>
        <v>0</v>
      </c>
      <c r="V14" s="76">
        <f t="shared" si="2"/>
        <v>0</v>
      </c>
      <c r="W14" s="73">
        <v>0</v>
      </c>
      <c r="X14" s="69">
        <f>M14+V14+W14</f>
        <v>0</v>
      </c>
    </row>
    <row r="15" spans="1:24" ht="12.2" customHeight="1" x14ac:dyDescent="0.2">
      <c r="A15" s="77">
        <v>313</v>
      </c>
      <c r="B15" s="78" t="s">
        <v>38</v>
      </c>
      <c r="C15" s="79">
        <f>SUM(C12:C14)</f>
        <v>1197618.8500000001</v>
      </c>
      <c r="D15" s="79">
        <f>SUM(D12:D14)</f>
        <v>1143111.6199999999</v>
      </c>
      <c r="E15" s="79">
        <f>SUM(E12:E14)</f>
        <v>1083804.7000000002</v>
      </c>
      <c r="F15" s="79">
        <f>F12+F13+F14</f>
        <v>1082819.51</v>
      </c>
      <c r="G15" s="80">
        <f>SUM(G12:G14)</f>
        <v>1300000</v>
      </c>
      <c r="H15" s="81">
        <f>SUM(H12:H14)</f>
        <v>172539.65093901387</v>
      </c>
      <c r="I15" s="82">
        <f>SUM(I12:I14)</f>
        <v>1554330</v>
      </c>
      <c r="J15" s="83">
        <f>SUM(J12:J14)</f>
        <v>750450</v>
      </c>
      <c r="K15" s="84">
        <f t="shared" ref="K15:Q15" si="4">SUM(K12:K14)</f>
        <v>458211.6</v>
      </c>
      <c r="L15" s="84">
        <f>SUM(L12:L14)</f>
        <v>184892.40000000002</v>
      </c>
      <c r="M15" s="84">
        <f t="shared" si="4"/>
        <v>112543.20000000001</v>
      </c>
      <c r="N15" s="84">
        <f t="shared" si="4"/>
        <v>48232.799999999996</v>
      </c>
      <c r="O15" s="85">
        <f t="shared" si="1"/>
        <v>345668.4</v>
      </c>
      <c r="P15" s="86">
        <f t="shared" si="4"/>
        <v>803880</v>
      </c>
      <c r="Q15" s="94">
        <f t="shared" si="4"/>
        <v>0</v>
      </c>
      <c r="R15" s="88">
        <f>R12+R13</f>
        <v>254330</v>
      </c>
      <c r="S15" s="89">
        <f>S12+S13+S14</f>
        <v>1562369</v>
      </c>
      <c r="T15" s="95">
        <f>T12+T13</f>
        <v>1539999</v>
      </c>
      <c r="U15" s="91">
        <f>U12+U13+U14</f>
        <v>206295.04280310572</v>
      </c>
      <c r="V15" s="92">
        <f>V12+V13</f>
        <v>206295.04280310572</v>
      </c>
      <c r="W15" s="89">
        <f>W12+W13+W14</f>
        <v>207362.0014599509</v>
      </c>
      <c r="X15" s="84">
        <f>X12+X13</f>
        <v>204392.9922357157</v>
      </c>
    </row>
    <row r="16" spans="1:24" ht="12.2" customHeight="1" x14ac:dyDescent="0.2">
      <c r="A16" s="61">
        <v>3121</v>
      </c>
      <c r="B16" s="93" t="s">
        <v>39</v>
      </c>
      <c r="C16" s="63">
        <v>413734.88</v>
      </c>
      <c r="D16" s="63">
        <v>669362.31999999995</v>
      </c>
      <c r="E16" s="63">
        <v>684113.39</v>
      </c>
      <c r="F16" s="63">
        <v>620105.81999999995</v>
      </c>
      <c r="G16" s="65">
        <v>850000</v>
      </c>
      <c r="H16" s="66">
        <f>G16/$U$9</f>
        <v>112814.38715243214</v>
      </c>
      <c r="I16" s="67">
        <v>719997</v>
      </c>
      <c r="J16" s="68">
        <v>71620</v>
      </c>
      <c r="K16" s="69">
        <f>P16*0.57</f>
        <v>369574.88999999996</v>
      </c>
      <c r="L16" s="69">
        <f>P16*0.23</f>
        <v>149126.71000000002</v>
      </c>
      <c r="M16" s="69">
        <f>P16*0.14</f>
        <v>90772.780000000013</v>
      </c>
      <c r="N16" s="69">
        <f>P16*0.06</f>
        <v>38902.619999999995</v>
      </c>
      <c r="O16" s="70">
        <f t="shared" si="1"/>
        <v>278802.11000000004</v>
      </c>
      <c r="P16" s="71">
        <f>I16-J16-Q16</f>
        <v>648377</v>
      </c>
      <c r="Q16" s="96">
        <v>0</v>
      </c>
      <c r="R16" s="72">
        <f>I16-G16</f>
        <v>-130003</v>
      </c>
      <c r="S16" s="73">
        <v>1239998</v>
      </c>
      <c r="T16" s="97">
        <v>960000</v>
      </c>
      <c r="U16" s="91">
        <f t="shared" si="3"/>
        <v>95560.023890105513</v>
      </c>
      <c r="V16" s="76">
        <f t="shared" si="2"/>
        <v>95560.023890105513</v>
      </c>
      <c r="W16" s="73">
        <f>S16/$U$9</f>
        <v>164576.01698851946</v>
      </c>
      <c r="X16" s="73">
        <f>T16/$U$9</f>
        <v>127413.896078041</v>
      </c>
    </row>
    <row r="17" spans="1:24" ht="12.2" customHeight="1" thickBot="1" x14ac:dyDescent="0.25">
      <c r="A17" s="98">
        <v>312</v>
      </c>
      <c r="B17" s="99" t="s">
        <v>40</v>
      </c>
      <c r="C17" s="100">
        <f t="shared" ref="C17:T17" si="5">C16</f>
        <v>413734.88</v>
      </c>
      <c r="D17" s="100">
        <f t="shared" si="5"/>
        <v>669362.31999999995</v>
      </c>
      <c r="E17" s="100">
        <f t="shared" si="5"/>
        <v>684113.39</v>
      </c>
      <c r="F17" s="100">
        <f t="shared" si="5"/>
        <v>620105.81999999995</v>
      </c>
      <c r="G17" s="101">
        <f>G16</f>
        <v>850000</v>
      </c>
      <c r="H17" s="102">
        <f>H16</f>
        <v>112814.38715243214</v>
      </c>
      <c r="I17" s="103">
        <f t="shared" si="5"/>
        <v>719997</v>
      </c>
      <c r="J17" s="104">
        <f t="shared" si="5"/>
        <v>71620</v>
      </c>
      <c r="K17" s="105">
        <f t="shared" si="5"/>
        <v>369574.88999999996</v>
      </c>
      <c r="L17" s="105">
        <f t="shared" si="5"/>
        <v>149126.71000000002</v>
      </c>
      <c r="M17" s="105">
        <f t="shared" si="5"/>
        <v>90772.780000000013</v>
      </c>
      <c r="N17" s="105">
        <f t="shared" si="5"/>
        <v>38902.619999999995</v>
      </c>
      <c r="O17" s="106">
        <f t="shared" si="1"/>
        <v>278802.11000000004</v>
      </c>
      <c r="P17" s="107">
        <f t="shared" si="5"/>
        <v>648377</v>
      </c>
      <c r="Q17" s="108">
        <f t="shared" si="5"/>
        <v>0</v>
      </c>
      <c r="R17" s="109">
        <f t="shared" si="5"/>
        <v>-130003</v>
      </c>
      <c r="S17" s="110">
        <f>S16</f>
        <v>1239998</v>
      </c>
      <c r="T17" s="111">
        <f t="shared" si="5"/>
        <v>960000</v>
      </c>
      <c r="U17" s="112">
        <f>U16</f>
        <v>95560.023890105513</v>
      </c>
      <c r="V17" s="113">
        <f t="shared" si="2"/>
        <v>95560.023890105513</v>
      </c>
      <c r="W17" s="110">
        <f>W16</f>
        <v>164576.01698851946</v>
      </c>
      <c r="X17" s="105">
        <f>X16</f>
        <v>127413.896078041</v>
      </c>
    </row>
    <row r="18" spans="1:24" ht="12" thickBot="1" x14ac:dyDescent="0.25">
      <c r="A18" s="114">
        <v>31</v>
      </c>
      <c r="B18" s="114" t="s">
        <v>41</v>
      </c>
      <c r="C18" s="115">
        <f t="shared" ref="C18:J18" si="6">C10+C12+C13+C14+C16</f>
        <v>6573329.8200000003</v>
      </c>
      <c r="D18" s="115">
        <f t="shared" si="6"/>
        <v>6724248.3100000005</v>
      </c>
      <c r="E18" s="115">
        <f t="shared" si="6"/>
        <v>6467823.2999999998</v>
      </c>
      <c r="F18" s="115">
        <f t="shared" si="6"/>
        <v>6434108.2599999998</v>
      </c>
      <c r="G18" s="116">
        <f>G10+G12+G13+G14+G16</f>
        <v>7470000</v>
      </c>
      <c r="H18" s="117">
        <f>H10+H12+H13+H14+H16</f>
        <v>991439.37885725661</v>
      </c>
      <c r="I18" s="118">
        <f t="shared" si="6"/>
        <v>8620003</v>
      </c>
      <c r="J18" s="119">
        <f t="shared" si="6"/>
        <v>3789130</v>
      </c>
      <c r="K18" s="120">
        <f>K10+K12+K13+K14+K16+1</f>
        <v>2753598.61</v>
      </c>
      <c r="L18" s="120">
        <f t="shared" ref="L18:Q18" si="7">L10+L12+L13+L14+L16</f>
        <v>1111100.79</v>
      </c>
      <c r="M18" s="120">
        <f t="shared" si="7"/>
        <v>676322.22000000009</v>
      </c>
      <c r="N18" s="120">
        <f t="shared" si="7"/>
        <v>289852.38</v>
      </c>
      <c r="O18" s="121">
        <f t="shared" si="1"/>
        <v>2077275.3900000001</v>
      </c>
      <c r="P18" s="122">
        <f>P10+P12+P13+P14+P16</f>
        <v>4830873</v>
      </c>
      <c r="Q18" s="123">
        <f t="shared" si="7"/>
        <v>0</v>
      </c>
      <c r="R18" s="124">
        <f>R11+R15+R17</f>
        <v>1150003</v>
      </c>
      <c r="S18" s="125">
        <f t="shared" ref="S18:X18" si="8">S11+S15+S17</f>
        <v>9182167</v>
      </c>
      <c r="T18" s="126">
        <f t="shared" si="8"/>
        <v>8915565</v>
      </c>
      <c r="U18" s="127">
        <f t="shared" si="8"/>
        <v>1144071.0067025018</v>
      </c>
      <c r="V18" s="118">
        <f t="shared" si="8"/>
        <v>1144071.0067025018</v>
      </c>
      <c r="W18" s="125">
        <f t="shared" si="8"/>
        <v>1218682.9915721016</v>
      </c>
      <c r="X18" s="125">
        <f t="shared" si="8"/>
        <v>1183298.8254031455</v>
      </c>
    </row>
    <row r="19" spans="1:24" ht="12.2" customHeight="1" x14ac:dyDescent="0.2">
      <c r="A19" s="128">
        <v>3211</v>
      </c>
      <c r="B19" s="129" t="s">
        <v>42</v>
      </c>
      <c r="C19" s="130">
        <v>19050.52</v>
      </c>
      <c r="D19" s="130">
        <v>9861.84</v>
      </c>
      <c r="E19" s="130">
        <v>480</v>
      </c>
      <c r="F19" s="130">
        <v>23040</v>
      </c>
      <c r="G19" s="131">
        <v>25000</v>
      </c>
      <c r="H19" s="66">
        <f>G19/$U$9</f>
        <v>3318.0702103656513</v>
      </c>
      <c r="I19" s="132">
        <v>25000</v>
      </c>
      <c r="J19" s="133">
        <v>0</v>
      </c>
      <c r="K19" s="134">
        <f>P19*0.57</f>
        <v>14249.999999999998</v>
      </c>
      <c r="L19" s="134">
        <f>P19*0.23</f>
        <v>5750</v>
      </c>
      <c r="M19" s="134">
        <f>P19*0.14</f>
        <v>3500.0000000000005</v>
      </c>
      <c r="N19" s="134">
        <f>P19*0.06</f>
        <v>1500</v>
      </c>
      <c r="O19" s="135">
        <f t="shared" si="1"/>
        <v>10750</v>
      </c>
      <c r="P19" s="136">
        <f>I19-J19-Q19</f>
        <v>25000</v>
      </c>
      <c r="Q19" s="137">
        <v>0</v>
      </c>
      <c r="R19" s="72">
        <f>I19-G19</f>
        <v>0</v>
      </c>
      <c r="S19" s="138">
        <v>25000</v>
      </c>
      <c r="T19" s="139">
        <v>25000</v>
      </c>
      <c r="U19" s="140">
        <f t="shared" si="3"/>
        <v>3318.0702103656513</v>
      </c>
      <c r="V19" s="141">
        <f t="shared" si="2"/>
        <v>3318.0702103656513</v>
      </c>
      <c r="W19" s="73">
        <f>S19/$U$9</f>
        <v>3318.0702103656513</v>
      </c>
      <c r="X19" s="73">
        <f>T19/$U$9</f>
        <v>3318.0702103656513</v>
      </c>
    </row>
    <row r="20" spans="1:24" ht="12.2" customHeight="1" x14ac:dyDescent="0.2">
      <c r="A20" s="61">
        <v>3212</v>
      </c>
      <c r="B20" s="93" t="s">
        <v>43</v>
      </c>
      <c r="C20" s="63">
        <v>141889.81</v>
      </c>
      <c r="D20" s="63">
        <v>146370.32999999999</v>
      </c>
      <c r="E20" s="63">
        <v>140574.34</v>
      </c>
      <c r="F20" s="63">
        <v>142833.10999999999</v>
      </c>
      <c r="G20" s="65">
        <v>171000</v>
      </c>
      <c r="H20" s="66">
        <f>G20/$U$9</f>
        <v>22695.600238901054</v>
      </c>
      <c r="I20" s="67">
        <v>205000</v>
      </c>
      <c r="J20" s="68">
        <f>76189-157</f>
        <v>76032</v>
      </c>
      <c r="K20" s="69">
        <f>P20*0.57</f>
        <v>73511.759999999995</v>
      </c>
      <c r="L20" s="69">
        <f>P20*0.23</f>
        <v>29662.640000000003</v>
      </c>
      <c r="M20" s="69">
        <f>P20*0.14</f>
        <v>18055.52</v>
      </c>
      <c r="N20" s="69">
        <f>P20*0.06</f>
        <v>7738.08</v>
      </c>
      <c r="O20" s="70">
        <f t="shared" si="1"/>
        <v>55456.240000000005</v>
      </c>
      <c r="P20" s="71">
        <f>I20-J20-Q20</f>
        <v>128968</v>
      </c>
      <c r="Q20" s="96">
        <v>0</v>
      </c>
      <c r="R20" s="72">
        <f>I20-G20</f>
        <v>34000</v>
      </c>
      <c r="S20" s="138">
        <v>210000</v>
      </c>
      <c r="T20" s="139">
        <v>210000</v>
      </c>
      <c r="U20" s="91">
        <f t="shared" si="3"/>
        <v>27208.175724998338</v>
      </c>
      <c r="V20" s="76">
        <f t="shared" si="2"/>
        <v>27208.175724998338</v>
      </c>
      <c r="W20" s="73">
        <f t="shared" ref="W20:X36" si="9">S20/$U$9</f>
        <v>27871.78976707147</v>
      </c>
      <c r="X20" s="73">
        <f>T20/$U$9</f>
        <v>27871.78976707147</v>
      </c>
    </row>
    <row r="21" spans="1:24" ht="12.2" customHeight="1" x14ac:dyDescent="0.2">
      <c r="A21" s="61">
        <v>3213</v>
      </c>
      <c r="B21" s="62" t="s">
        <v>44</v>
      </c>
      <c r="C21" s="63">
        <v>14442.83</v>
      </c>
      <c r="D21" s="63">
        <v>21150.799999999999</v>
      </c>
      <c r="E21" s="63">
        <v>16939.13</v>
      </c>
      <c r="F21" s="63">
        <v>30090</v>
      </c>
      <c r="G21" s="142">
        <v>55000</v>
      </c>
      <c r="H21" s="66">
        <f>G21/$U$9</f>
        <v>7299.7544628044325</v>
      </c>
      <c r="I21" s="76">
        <v>55000</v>
      </c>
      <c r="J21" s="68">
        <v>0</v>
      </c>
      <c r="K21" s="69">
        <f>P21*0.57</f>
        <v>30209.999999999996</v>
      </c>
      <c r="L21" s="69">
        <f>P21*0.23</f>
        <v>12190</v>
      </c>
      <c r="M21" s="69">
        <f>P21*0.14</f>
        <v>7420.0000000000009</v>
      </c>
      <c r="N21" s="69">
        <f>P21*0.06</f>
        <v>3180</v>
      </c>
      <c r="O21" s="70">
        <f t="shared" si="1"/>
        <v>22790</v>
      </c>
      <c r="P21" s="71">
        <f>I21-J21-Q21</f>
        <v>53000</v>
      </c>
      <c r="Q21" s="96">
        <v>2000</v>
      </c>
      <c r="R21" s="72">
        <f>I21-G21</f>
        <v>0</v>
      </c>
      <c r="S21" s="138">
        <v>37000</v>
      </c>
      <c r="T21" s="139">
        <v>37000</v>
      </c>
      <c r="U21" s="91">
        <f t="shared" si="3"/>
        <v>7299.7544628044325</v>
      </c>
      <c r="V21" s="76">
        <v>7300</v>
      </c>
      <c r="W21" s="73">
        <f t="shared" si="9"/>
        <v>4910.7439113411638</v>
      </c>
      <c r="X21" s="73">
        <f>T21/$U$9</f>
        <v>4910.7439113411638</v>
      </c>
    </row>
    <row r="22" spans="1:24" ht="12.2" customHeight="1" x14ac:dyDescent="0.2">
      <c r="A22" s="77">
        <v>321</v>
      </c>
      <c r="B22" s="78" t="s">
        <v>45</v>
      </c>
      <c r="C22" s="79">
        <f>SUM(C19:C21)</f>
        <v>175383.15999999997</v>
      </c>
      <c r="D22" s="79">
        <f>SUM(D19:D21)</f>
        <v>177382.96999999997</v>
      </c>
      <c r="E22" s="79">
        <f>SUM(E19:E21)</f>
        <v>157993.47</v>
      </c>
      <c r="F22" s="79">
        <f>F19+F20+F21</f>
        <v>195963.11</v>
      </c>
      <c r="G22" s="143">
        <f>SUM(G19:G21)</f>
        <v>251000</v>
      </c>
      <c r="H22" s="144">
        <f>SUM(H19:H21)</f>
        <v>33313.424912071139</v>
      </c>
      <c r="I22" s="92">
        <f>SUM(I19:I21)</f>
        <v>285000</v>
      </c>
      <c r="J22" s="83">
        <f>SUM(J19:J21)</f>
        <v>76032</v>
      </c>
      <c r="K22" s="84">
        <f t="shared" ref="K22:Q22" si="10">SUM(K19:K21)</f>
        <v>117971.76</v>
      </c>
      <c r="L22" s="84">
        <f t="shared" si="10"/>
        <v>47602.64</v>
      </c>
      <c r="M22" s="84">
        <f t="shared" si="10"/>
        <v>28975.52</v>
      </c>
      <c r="N22" s="84">
        <f t="shared" si="10"/>
        <v>12418.08</v>
      </c>
      <c r="O22" s="85">
        <f t="shared" si="1"/>
        <v>88996.24</v>
      </c>
      <c r="P22" s="86">
        <f t="shared" si="10"/>
        <v>206968</v>
      </c>
      <c r="Q22" s="94">
        <f t="shared" si="10"/>
        <v>2000</v>
      </c>
      <c r="R22" s="88">
        <f>SUM(R19:R21)</f>
        <v>34000</v>
      </c>
      <c r="S22" s="89">
        <f>S19+S20+S21</f>
        <v>272000</v>
      </c>
      <c r="T22" s="95">
        <f>SUM(T19:T21)</f>
        <v>272000</v>
      </c>
      <c r="U22" s="91">
        <f t="shared" si="3"/>
        <v>37826.00039816842</v>
      </c>
      <c r="V22" s="92">
        <f>SUM(V19:V21)</f>
        <v>37826.245935363986</v>
      </c>
      <c r="W22" s="84">
        <f>SUM(W19:W21)</f>
        <v>36100.603888778285</v>
      </c>
      <c r="X22" s="84">
        <f>SUM(X19:X21)</f>
        <v>36100.603888778285</v>
      </c>
    </row>
    <row r="23" spans="1:24" ht="12.2" customHeight="1" x14ac:dyDescent="0.2">
      <c r="A23" s="61">
        <v>3221</v>
      </c>
      <c r="B23" s="93" t="s">
        <v>46</v>
      </c>
      <c r="C23" s="63">
        <v>71166.3</v>
      </c>
      <c r="D23" s="63">
        <v>57215.77</v>
      </c>
      <c r="E23" s="63">
        <v>53117.65</v>
      </c>
      <c r="F23" s="63">
        <v>60599.03</v>
      </c>
      <c r="G23" s="142">
        <f>69000-5000</f>
        <v>64000</v>
      </c>
      <c r="H23" s="66">
        <f>G23/$U$9</f>
        <v>8494.2597385360677</v>
      </c>
      <c r="I23" s="76">
        <v>69997</v>
      </c>
      <c r="J23" s="68">
        <v>30524</v>
      </c>
      <c r="K23" s="69">
        <f>P23*0.57</f>
        <v>22499.609999999997</v>
      </c>
      <c r="L23" s="69">
        <f>P23*0.23</f>
        <v>9078.7900000000009</v>
      </c>
      <c r="M23" s="69">
        <f>P23*0.14</f>
        <v>5526.22</v>
      </c>
      <c r="N23" s="69">
        <f>P23*0.06</f>
        <v>2368.38</v>
      </c>
      <c r="O23" s="70">
        <f t="shared" si="1"/>
        <v>16973.390000000003</v>
      </c>
      <c r="P23" s="71">
        <f>I23-J23-Q23</f>
        <v>39473</v>
      </c>
      <c r="Q23" s="96">
        <v>0</v>
      </c>
      <c r="R23" s="72">
        <f>I23-G23</f>
        <v>5997</v>
      </c>
      <c r="S23" s="73">
        <v>72000</v>
      </c>
      <c r="T23" s="74">
        <v>72000</v>
      </c>
      <c r="U23" s="91">
        <f t="shared" si="3"/>
        <v>9290.1984205985791</v>
      </c>
      <c r="V23" s="76">
        <f t="shared" si="2"/>
        <v>9290.1984205985791</v>
      </c>
      <c r="W23" s="73">
        <f t="shared" si="9"/>
        <v>9556.0422058530748</v>
      </c>
      <c r="X23" s="73">
        <f>T23/$U$9</f>
        <v>9556.0422058530748</v>
      </c>
    </row>
    <row r="24" spans="1:24" ht="12.2" customHeight="1" x14ac:dyDescent="0.2">
      <c r="A24" s="61">
        <v>3223</v>
      </c>
      <c r="B24" s="62" t="s">
        <v>47</v>
      </c>
      <c r="C24" s="63">
        <v>133853.75</v>
      </c>
      <c r="D24" s="63">
        <v>145266.51999999999</v>
      </c>
      <c r="E24" s="63">
        <v>102925.97</v>
      </c>
      <c r="F24" s="63">
        <v>138237</v>
      </c>
      <c r="G24" s="142">
        <v>222000</v>
      </c>
      <c r="H24" s="66">
        <f>G24/$U$9</f>
        <v>29464.463468046983</v>
      </c>
      <c r="I24" s="67">
        <v>220000</v>
      </c>
      <c r="J24" s="68">
        <v>110729</v>
      </c>
      <c r="K24" s="69">
        <f>P24*0.57</f>
        <v>62284.469999999994</v>
      </c>
      <c r="L24" s="69">
        <f>P24*0.23</f>
        <v>25132.33</v>
      </c>
      <c r="M24" s="69">
        <f>P24*0.14</f>
        <v>15297.940000000002</v>
      </c>
      <c r="N24" s="69">
        <f>P24*0.06</f>
        <v>6556.2599999999993</v>
      </c>
      <c r="O24" s="70">
        <f t="shared" si="1"/>
        <v>46986.530000000006</v>
      </c>
      <c r="P24" s="71">
        <f>I24-J24-Q24</f>
        <v>109271</v>
      </c>
      <c r="Q24" s="96">
        <v>0</v>
      </c>
      <c r="R24" s="72">
        <f>I24-G24</f>
        <v>-2000</v>
      </c>
      <c r="S24" s="73">
        <v>220000</v>
      </c>
      <c r="T24" s="74">
        <v>220000</v>
      </c>
      <c r="U24" s="91">
        <f t="shared" si="3"/>
        <v>29199.01785121773</v>
      </c>
      <c r="V24" s="76">
        <f t="shared" si="2"/>
        <v>29199.01785121773</v>
      </c>
      <c r="W24" s="73">
        <f t="shared" si="9"/>
        <v>29199.01785121773</v>
      </c>
      <c r="X24" s="73">
        <f t="shared" si="9"/>
        <v>29199.01785121773</v>
      </c>
    </row>
    <row r="25" spans="1:24" ht="12.2" customHeight="1" x14ac:dyDescent="0.2">
      <c r="A25" s="61">
        <v>3224</v>
      </c>
      <c r="B25" s="62" t="s">
        <v>48</v>
      </c>
      <c r="C25" s="63">
        <v>0</v>
      </c>
      <c r="D25" s="63">
        <v>6615.87</v>
      </c>
      <c r="E25" s="63">
        <v>0</v>
      </c>
      <c r="F25" s="63">
        <v>0</v>
      </c>
      <c r="G25" s="142">
        <v>10000</v>
      </c>
      <c r="H25" s="66">
        <f>G25/$U$9</f>
        <v>1327.2280841462605</v>
      </c>
      <c r="I25" s="67">
        <v>10000</v>
      </c>
      <c r="J25" s="68">
        <v>0</v>
      </c>
      <c r="K25" s="73">
        <f>P25*0.57</f>
        <v>5699.9999999999991</v>
      </c>
      <c r="L25" s="69">
        <f>P25*0.23</f>
        <v>2300</v>
      </c>
      <c r="M25" s="69">
        <f>P25*0.14</f>
        <v>1400.0000000000002</v>
      </c>
      <c r="N25" s="69">
        <f>P25*0.06</f>
        <v>600</v>
      </c>
      <c r="O25" s="70">
        <f t="shared" si="1"/>
        <v>4300</v>
      </c>
      <c r="P25" s="71">
        <f>I25-J25-Q25</f>
        <v>10000</v>
      </c>
      <c r="Q25" s="96">
        <v>0</v>
      </c>
      <c r="R25" s="72">
        <f>I25-G25</f>
        <v>0</v>
      </c>
      <c r="S25" s="73">
        <v>10000</v>
      </c>
      <c r="T25" s="74">
        <v>10000</v>
      </c>
      <c r="U25" s="91">
        <f t="shared" si="3"/>
        <v>1327.2280841462605</v>
      </c>
      <c r="V25" s="76">
        <f t="shared" si="2"/>
        <v>1327.2280841462605</v>
      </c>
      <c r="W25" s="73">
        <f t="shared" si="9"/>
        <v>1327.2280841462605</v>
      </c>
      <c r="X25" s="73">
        <f t="shared" si="9"/>
        <v>1327.2280841462605</v>
      </c>
    </row>
    <row r="26" spans="1:24" ht="12.2" customHeight="1" x14ac:dyDescent="0.2">
      <c r="A26" s="61">
        <v>3225</v>
      </c>
      <c r="B26" s="62" t="s">
        <v>49</v>
      </c>
      <c r="C26" s="63">
        <v>109536.15</v>
      </c>
      <c r="D26" s="63">
        <v>54498.04</v>
      </c>
      <c r="E26" s="64">
        <v>28224.26</v>
      </c>
      <c r="F26" s="64">
        <v>48831.22</v>
      </c>
      <c r="G26" s="65">
        <v>50000</v>
      </c>
      <c r="H26" s="66">
        <f>G26/$U$9</f>
        <v>6636.1404207313026</v>
      </c>
      <c r="I26" s="67">
        <v>50000</v>
      </c>
      <c r="J26" s="68">
        <f>24375+49</f>
        <v>24424</v>
      </c>
      <c r="K26" s="69">
        <f>P26*0.57</f>
        <v>14578.319999999998</v>
      </c>
      <c r="L26" s="69">
        <f>P26*0.23</f>
        <v>5882.4800000000005</v>
      </c>
      <c r="M26" s="69">
        <f>P26*0.14</f>
        <v>3580.6400000000003</v>
      </c>
      <c r="N26" s="69">
        <f>P26*0.06</f>
        <v>1534.56</v>
      </c>
      <c r="O26" s="70">
        <f t="shared" si="1"/>
        <v>10997.68</v>
      </c>
      <c r="P26" s="71">
        <f>I26-J26-Q26</f>
        <v>25576</v>
      </c>
      <c r="Q26" s="96">
        <v>0</v>
      </c>
      <c r="R26" s="72">
        <f>I26-G26</f>
        <v>0</v>
      </c>
      <c r="S26" s="73">
        <v>90000</v>
      </c>
      <c r="T26" s="74">
        <v>90000</v>
      </c>
      <c r="U26" s="91">
        <f t="shared" si="3"/>
        <v>6636.1404207313026</v>
      </c>
      <c r="V26" s="76">
        <f t="shared" si="2"/>
        <v>6636.1404207313026</v>
      </c>
      <c r="W26" s="73">
        <f t="shared" si="9"/>
        <v>11945.052757316344</v>
      </c>
      <c r="X26" s="73">
        <f t="shared" si="9"/>
        <v>11945.052757316344</v>
      </c>
    </row>
    <row r="27" spans="1:24" ht="12.2" customHeight="1" x14ac:dyDescent="0.2">
      <c r="A27" s="61">
        <v>3227</v>
      </c>
      <c r="B27" s="62" t="s">
        <v>50</v>
      </c>
      <c r="C27" s="63">
        <v>273065.42</v>
      </c>
      <c r="D27" s="63">
        <v>263093.08</v>
      </c>
      <c r="E27" s="64">
        <v>59936.52</v>
      </c>
      <c r="F27" s="64">
        <v>74210.62</v>
      </c>
      <c r="G27" s="65">
        <v>284000</v>
      </c>
      <c r="H27" s="66">
        <f>G27/$U$9</f>
        <v>37693.277589753794</v>
      </c>
      <c r="I27" s="67">
        <v>120000</v>
      </c>
      <c r="J27" s="145">
        <v>56250</v>
      </c>
      <c r="K27" s="73">
        <f>P27*0.57-1</f>
        <v>36336.5</v>
      </c>
      <c r="L27" s="69">
        <f>P27*0.23</f>
        <v>14662.5</v>
      </c>
      <c r="M27" s="69">
        <f>P27*0.14</f>
        <v>8925</v>
      </c>
      <c r="N27" s="69">
        <f>P27*0.06</f>
        <v>3825</v>
      </c>
      <c r="O27" s="70">
        <f t="shared" si="1"/>
        <v>27412.5</v>
      </c>
      <c r="P27" s="71">
        <f>I27-J27-Q27</f>
        <v>63750</v>
      </c>
      <c r="Q27" s="96">
        <v>0</v>
      </c>
      <c r="R27" s="72">
        <f>I27-G27</f>
        <v>-164000</v>
      </c>
      <c r="S27" s="73">
        <v>100000</v>
      </c>
      <c r="T27" s="74">
        <v>100000</v>
      </c>
      <c r="U27" s="91">
        <f t="shared" si="3"/>
        <v>15926.737009755125</v>
      </c>
      <c r="V27" s="76">
        <f t="shared" si="2"/>
        <v>15926.737009755125</v>
      </c>
      <c r="W27" s="73">
        <f t="shared" si="9"/>
        <v>13272.280841462605</v>
      </c>
      <c r="X27" s="73">
        <f t="shared" si="9"/>
        <v>13272.280841462605</v>
      </c>
    </row>
    <row r="28" spans="1:24" ht="12.2" customHeight="1" x14ac:dyDescent="0.2">
      <c r="A28" s="77">
        <v>322</v>
      </c>
      <c r="B28" s="78" t="s">
        <v>51</v>
      </c>
      <c r="C28" s="79">
        <f>SUM(C23:C27)</f>
        <v>587621.61999999988</v>
      </c>
      <c r="D28" s="79">
        <f>SUM(D23:D27)</f>
        <v>526689.28000000003</v>
      </c>
      <c r="E28" s="79">
        <f>SUM(E23:E27)</f>
        <v>244204.4</v>
      </c>
      <c r="F28" s="79">
        <f>F23+F24+F25+F26+F27</f>
        <v>321877.87</v>
      </c>
      <c r="G28" s="143">
        <f>SUM(G23:G27)</f>
        <v>630000</v>
      </c>
      <c r="H28" s="144">
        <f>SUM(H23:H27)</f>
        <v>83615.369301214407</v>
      </c>
      <c r="I28" s="92">
        <f>SUM(I23:I27)</f>
        <v>469997</v>
      </c>
      <c r="J28" s="83">
        <f>SUM(J23:J27)</f>
        <v>221927</v>
      </c>
      <c r="K28" s="89">
        <f t="shared" ref="K28:Q28" si="11">SUM(K23:K27)</f>
        <v>141398.89999999997</v>
      </c>
      <c r="L28" s="84">
        <f t="shared" si="11"/>
        <v>57056.100000000006</v>
      </c>
      <c r="M28" s="84">
        <f t="shared" si="11"/>
        <v>34729.800000000003</v>
      </c>
      <c r="N28" s="84">
        <f t="shared" si="11"/>
        <v>14884.199999999999</v>
      </c>
      <c r="O28" s="85">
        <f t="shared" si="1"/>
        <v>106670.1</v>
      </c>
      <c r="P28" s="86">
        <f t="shared" si="11"/>
        <v>248070</v>
      </c>
      <c r="Q28" s="94">
        <f t="shared" si="11"/>
        <v>0</v>
      </c>
      <c r="R28" s="88">
        <f>SUM(R23:R27)</f>
        <v>-160003</v>
      </c>
      <c r="S28" s="89">
        <f>S23+S24+S25+S26+S27</f>
        <v>492000</v>
      </c>
      <c r="T28" s="95">
        <f>SUM(T23:T27)</f>
        <v>492000</v>
      </c>
      <c r="U28" s="91">
        <f t="shared" si="3"/>
        <v>62379.321786449</v>
      </c>
      <c r="V28" s="92">
        <f>SUM(V23:V27)</f>
        <v>62379.321786449</v>
      </c>
      <c r="W28" s="84">
        <f>SUM(W23:W27)-1</f>
        <v>65298.621739996015</v>
      </c>
      <c r="X28" s="84">
        <f>SUM(X23:X27)-1</f>
        <v>65298.621739996015</v>
      </c>
    </row>
    <row r="29" spans="1:24" ht="12.2" customHeight="1" x14ac:dyDescent="0.2">
      <c r="A29" s="61">
        <v>3231</v>
      </c>
      <c r="B29" s="62" t="s">
        <v>52</v>
      </c>
      <c r="C29" s="63">
        <v>25097.91</v>
      </c>
      <c r="D29" s="64">
        <v>26473.68</v>
      </c>
      <c r="E29" s="64">
        <v>25260.91</v>
      </c>
      <c r="F29" s="64">
        <v>39550.01</v>
      </c>
      <c r="G29" s="65">
        <v>48000</v>
      </c>
      <c r="H29" s="66">
        <f t="shared" ref="H29:H36" si="12">G29/$U$9</f>
        <v>6370.6948039020499</v>
      </c>
      <c r="I29" s="67">
        <v>51000</v>
      </c>
      <c r="J29" s="145">
        <v>24655</v>
      </c>
      <c r="K29" s="69">
        <f t="shared" ref="K29:K36" si="13">P29*0.57</f>
        <v>15016.649999999998</v>
      </c>
      <c r="L29" s="69">
        <f t="shared" ref="L29:L36" si="14">P29*0.23</f>
        <v>6059.35</v>
      </c>
      <c r="M29" s="69">
        <f t="shared" ref="M29:M36" si="15">P29*0.14</f>
        <v>3688.3</v>
      </c>
      <c r="N29" s="69">
        <f t="shared" ref="N29:N36" si="16">P29*0.06</f>
        <v>1580.7</v>
      </c>
      <c r="O29" s="70">
        <f t="shared" si="1"/>
        <v>11328.350000000002</v>
      </c>
      <c r="P29" s="71">
        <f t="shared" ref="P29:P36" si="17">I29-J29-Q29</f>
        <v>26345</v>
      </c>
      <c r="Q29" s="96">
        <v>0</v>
      </c>
      <c r="R29" s="72">
        <f t="shared" ref="R29:R41" si="18">I29-G29</f>
        <v>3000</v>
      </c>
      <c r="S29" s="73">
        <v>49000</v>
      </c>
      <c r="T29" s="74">
        <v>50000</v>
      </c>
      <c r="U29" s="91">
        <f t="shared" si="3"/>
        <v>6768.863229145928</v>
      </c>
      <c r="V29" s="76">
        <f t="shared" si="2"/>
        <v>6768.863229145928</v>
      </c>
      <c r="W29" s="73">
        <f t="shared" si="9"/>
        <v>6503.4176123166762</v>
      </c>
      <c r="X29" s="73">
        <f t="shared" si="9"/>
        <v>6636.1404207313026</v>
      </c>
    </row>
    <row r="30" spans="1:24" ht="12.2" customHeight="1" x14ac:dyDescent="0.2">
      <c r="A30" s="61">
        <v>3232</v>
      </c>
      <c r="B30" s="62" t="s">
        <v>53</v>
      </c>
      <c r="C30" s="63">
        <v>206609.9</v>
      </c>
      <c r="D30" s="63">
        <v>193995.02</v>
      </c>
      <c r="E30" s="64">
        <v>118037.58</v>
      </c>
      <c r="F30" s="64">
        <v>122169.71</v>
      </c>
      <c r="G30" s="65">
        <v>147000</v>
      </c>
      <c r="H30" s="66">
        <f t="shared" si="12"/>
        <v>19510.252836950029</v>
      </c>
      <c r="I30" s="67">
        <v>154000</v>
      </c>
      <c r="J30" s="68">
        <v>37700</v>
      </c>
      <c r="K30" s="69">
        <f t="shared" si="13"/>
        <v>66291</v>
      </c>
      <c r="L30" s="69">
        <f t="shared" si="14"/>
        <v>26749</v>
      </c>
      <c r="M30" s="69">
        <f t="shared" si="15"/>
        <v>16282.000000000002</v>
      </c>
      <c r="N30" s="69">
        <f t="shared" si="16"/>
        <v>6978</v>
      </c>
      <c r="O30" s="70">
        <f t="shared" si="1"/>
        <v>50009</v>
      </c>
      <c r="P30" s="71">
        <f t="shared" si="17"/>
        <v>116300</v>
      </c>
      <c r="Q30" s="96">
        <v>0</v>
      </c>
      <c r="R30" s="72">
        <f t="shared" si="18"/>
        <v>7000</v>
      </c>
      <c r="S30" s="73">
        <v>160000</v>
      </c>
      <c r="T30" s="74">
        <v>160000</v>
      </c>
      <c r="U30" s="91">
        <f t="shared" si="3"/>
        <v>20439.312495852409</v>
      </c>
      <c r="V30" s="76">
        <f t="shared" si="2"/>
        <v>20439.312495852409</v>
      </c>
      <c r="W30" s="73">
        <f t="shared" si="9"/>
        <v>21235.649346340168</v>
      </c>
      <c r="X30" s="73">
        <f t="shared" si="9"/>
        <v>21235.649346340168</v>
      </c>
    </row>
    <row r="31" spans="1:24" ht="12.2" customHeight="1" x14ac:dyDescent="0.2">
      <c r="A31" s="61">
        <v>3233</v>
      </c>
      <c r="B31" s="93" t="s">
        <v>54</v>
      </c>
      <c r="C31" s="63">
        <v>9500</v>
      </c>
      <c r="D31" s="63">
        <v>700</v>
      </c>
      <c r="E31" s="63">
        <v>350</v>
      </c>
      <c r="F31" s="63">
        <v>2992.5</v>
      </c>
      <c r="G31" s="142">
        <v>14000</v>
      </c>
      <c r="H31" s="66">
        <f t="shared" si="12"/>
        <v>1858.1193178047647</v>
      </c>
      <c r="I31" s="76">
        <v>3000</v>
      </c>
      <c r="J31" s="68">
        <v>0</v>
      </c>
      <c r="K31" s="69">
        <f t="shared" si="13"/>
        <v>1709.9999999999998</v>
      </c>
      <c r="L31" s="69">
        <f t="shared" si="14"/>
        <v>690</v>
      </c>
      <c r="M31" s="69">
        <f t="shared" si="15"/>
        <v>420.00000000000006</v>
      </c>
      <c r="N31" s="69">
        <f t="shared" si="16"/>
        <v>180</v>
      </c>
      <c r="O31" s="70">
        <f t="shared" si="1"/>
        <v>1290</v>
      </c>
      <c r="P31" s="71">
        <f t="shared" si="17"/>
        <v>3000</v>
      </c>
      <c r="Q31" s="96">
        <v>0</v>
      </c>
      <c r="R31" s="72">
        <f t="shared" si="18"/>
        <v>-11000</v>
      </c>
      <c r="S31" s="73">
        <v>3000</v>
      </c>
      <c r="T31" s="74">
        <v>3000</v>
      </c>
      <c r="U31" s="91">
        <f t="shared" si="3"/>
        <v>398.16842524387812</v>
      </c>
      <c r="V31" s="76">
        <f t="shared" si="2"/>
        <v>398.16842524387812</v>
      </c>
      <c r="W31" s="73">
        <f t="shared" si="9"/>
        <v>398.16842524387812</v>
      </c>
      <c r="X31" s="73">
        <f t="shared" si="9"/>
        <v>398.16842524387812</v>
      </c>
    </row>
    <row r="32" spans="1:24" ht="12.2" customHeight="1" x14ac:dyDescent="0.2">
      <c r="A32" s="61">
        <v>3234</v>
      </c>
      <c r="B32" s="62" t="s">
        <v>55</v>
      </c>
      <c r="C32" s="63">
        <v>20423.38</v>
      </c>
      <c r="D32" s="63">
        <v>19151.32</v>
      </c>
      <c r="E32" s="63">
        <v>18201.75</v>
      </c>
      <c r="F32" s="63">
        <v>18866.04</v>
      </c>
      <c r="G32" s="142">
        <v>22000</v>
      </c>
      <c r="H32" s="66">
        <f t="shared" si="12"/>
        <v>2919.9017851217732</v>
      </c>
      <c r="I32" s="76">
        <v>24000</v>
      </c>
      <c r="J32" s="68">
        <v>16614</v>
      </c>
      <c r="K32" s="69">
        <f t="shared" si="13"/>
        <v>4210.0199999999995</v>
      </c>
      <c r="L32" s="69">
        <f t="shared" si="14"/>
        <v>1698.78</v>
      </c>
      <c r="M32" s="69">
        <f t="shared" si="15"/>
        <v>1034.0400000000002</v>
      </c>
      <c r="N32" s="69">
        <f t="shared" si="16"/>
        <v>443.15999999999997</v>
      </c>
      <c r="O32" s="70">
        <f t="shared" si="1"/>
        <v>3175.98</v>
      </c>
      <c r="P32" s="71">
        <f t="shared" si="17"/>
        <v>7386</v>
      </c>
      <c r="Q32" s="96">
        <v>0</v>
      </c>
      <c r="R32" s="72">
        <f t="shared" si="18"/>
        <v>2000</v>
      </c>
      <c r="S32" s="73">
        <v>25000</v>
      </c>
      <c r="T32" s="74">
        <v>25000</v>
      </c>
      <c r="U32" s="91">
        <f t="shared" si="3"/>
        <v>3185.3474019510249</v>
      </c>
      <c r="V32" s="76">
        <f t="shared" si="2"/>
        <v>3185.3474019510249</v>
      </c>
      <c r="W32" s="73">
        <f t="shared" si="9"/>
        <v>3318.0702103656513</v>
      </c>
      <c r="X32" s="73">
        <f t="shared" si="9"/>
        <v>3318.0702103656513</v>
      </c>
    </row>
    <row r="33" spans="1:24" ht="12.2" customHeight="1" x14ac:dyDescent="0.2">
      <c r="A33" s="61">
        <v>3235</v>
      </c>
      <c r="B33" s="62" t="s">
        <v>56</v>
      </c>
      <c r="C33" s="63">
        <v>0</v>
      </c>
      <c r="D33" s="63">
        <v>6250</v>
      </c>
      <c r="E33" s="63">
        <v>6250</v>
      </c>
      <c r="F33" s="63">
        <v>25362.5</v>
      </c>
      <c r="G33" s="65">
        <v>33000</v>
      </c>
      <c r="H33" s="66">
        <f t="shared" si="12"/>
        <v>4379.8526776826593</v>
      </c>
      <c r="I33" s="67">
        <v>33000</v>
      </c>
      <c r="J33" s="68">
        <v>0</v>
      </c>
      <c r="K33" s="69">
        <f t="shared" si="13"/>
        <v>18810</v>
      </c>
      <c r="L33" s="69">
        <f>P33*0.23</f>
        <v>7590</v>
      </c>
      <c r="M33" s="69">
        <f t="shared" si="15"/>
        <v>4620</v>
      </c>
      <c r="N33" s="69">
        <f t="shared" si="16"/>
        <v>1980</v>
      </c>
      <c r="O33" s="70">
        <f t="shared" si="1"/>
        <v>14190</v>
      </c>
      <c r="P33" s="71">
        <f t="shared" si="17"/>
        <v>33000</v>
      </c>
      <c r="Q33" s="96">
        <v>0</v>
      </c>
      <c r="R33" s="72">
        <f t="shared" si="18"/>
        <v>0</v>
      </c>
      <c r="S33" s="73">
        <v>35000</v>
      </c>
      <c r="T33" s="74">
        <v>35000</v>
      </c>
      <c r="U33" s="91">
        <f t="shared" si="3"/>
        <v>4379.8526776826593</v>
      </c>
      <c r="V33" s="76">
        <f t="shared" si="2"/>
        <v>4379.8526776826593</v>
      </c>
      <c r="W33" s="73">
        <f t="shared" si="9"/>
        <v>4645.298294511912</v>
      </c>
      <c r="X33" s="73">
        <f t="shared" si="9"/>
        <v>4645.298294511912</v>
      </c>
    </row>
    <row r="34" spans="1:24" ht="12.2" customHeight="1" x14ac:dyDescent="0.2">
      <c r="A34" s="61">
        <v>3236</v>
      </c>
      <c r="B34" s="62" t="s">
        <v>57</v>
      </c>
      <c r="C34" s="63">
        <v>535</v>
      </c>
      <c r="D34" s="63">
        <v>1035</v>
      </c>
      <c r="E34" s="63">
        <v>950</v>
      </c>
      <c r="F34" s="63">
        <v>3270</v>
      </c>
      <c r="G34" s="142">
        <v>5000</v>
      </c>
      <c r="H34" s="66">
        <f t="shared" si="12"/>
        <v>663.61404207313024</v>
      </c>
      <c r="I34" s="76">
        <v>4000</v>
      </c>
      <c r="J34" s="68">
        <v>0</v>
      </c>
      <c r="K34" s="69">
        <f t="shared" si="13"/>
        <v>2280</v>
      </c>
      <c r="L34" s="69">
        <f t="shared" si="14"/>
        <v>920</v>
      </c>
      <c r="M34" s="69">
        <f t="shared" si="15"/>
        <v>560</v>
      </c>
      <c r="N34" s="69">
        <f t="shared" si="16"/>
        <v>240</v>
      </c>
      <c r="O34" s="70">
        <f t="shared" si="1"/>
        <v>1720</v>
      </c>
      <c r="P34" s="71">
        <f t="shared" si="17"/>
        <v>4000</v>
      </c>
      <c r="Q34" s="96">
        <v>0</v>
      </c>
      <c r="R34" s="72">
        <f t="shared" si="18"/>
        <v>-1000</v>
      </c>
      <c r="S34" s="73">
        <v>5000</v>
      </c>
      <c r="T34" s="74">
        <v>5000</v>
      </c>
      <c r="U34" s="91">
        <f t="shared" si="3"/>
        <v>530.89123365850423</v>
      </c>
      <c r="V34" s="76">
        <f t="shared" si="2"/>
        <v>530.89123365850423</v>
      </c>
      <c r="W34" s="73">
        <f t="shared" si="9"/>
        <v>663.61404207313024</v>
      </c>
      <c r="X34" s="73">
        <f t="shared" si="9"/>
        <v>663.61404207313024</v>
      </c>
    </row>
    <row r="35" spans="1:24" ht="12.2" customHeight="1" x14ac:dyDescent="0.2">
      <c r="A35" s="61">
        <v>3237</v>
      </c>
      <c r="B35" s="62" t="s">
        <v>58</v>
      </c>
      <c r="C35" s="63">
        <v>45820</v>
      </c>
      <c r="D35" s="63">
        <v>67167.179999999993</v>
      </c>
      <c r="E35" s="64">
        <v>62004.42</v>
      </c>
      <c r="F35" s="64">
        <v>58533</v>
      </c>
      <c r="G35" s="65">
        <v>98000</v>
      </c>
      <c r="H35" s="66">
        <f t="shared" si="12"/>
        <v>13006.835224633352</v>
      </c>
      <c r="I35" s="67">
        <v>98000</v>
      </c>
      <c r="J35" s="68">
        <v>0</v>
      </c>
      <c r="K35" s="69">
        <f t="shared" si="13"/>
        <v>55859.999999999993</v>
      </c>
      <c r="L35" s="69">
        <f t="shared" si="14"/>
        <v>22540</v>
      </c>
      <c r="M35" s="69">
        <f t="shared" si="15"/>
        <v>13720.000000000002</v>
      </c>
      <c r="N35" s="69">
        <f t="shared" si="16"/>
        <v>5880</v>
      </c>
      <c r="O35" s="70">
        <f t="shared" si="1"/>
        <v>42140</v>
      </c>
      <c r="P35" s="71">
        <f t="shared" si="17"/>
        <v>98000</v>
      </c>
      <c r="Q35" s="96">
        <v>0</v>
      </c>
      <c r="R35" s="72">
        <f t="shared" si="18"/>
        <v>0</v>
      </c>
      <c r="S35" s="73">
        <v>100000</v>
      </c>
      <c r="T35" s="74">
        <v>100000</v>
      </c>
      <c r="U35" s="91">
        <f t="shared" si="3"/>
        <v>13006.835224633352</v>
      </c>
      <c r="V35" s="76">
        <f t="shared" si="2"/>
        <v>13006.835224633352</v>
      </c>
      <c r="W35" s="73">
        <f t="shared" si="9"/>
        <v>13272.280841462605</v>
      </c>
      <c r="X35" s="73">
        <f t="shared" si="9"/>
        <v>13272.280841462605</v>
      </c>
    </row>
    <row r="36" spans="1:24" ht="12.2" customHeight="1" x14ac:dyDescent="0.2">
      <c r="A36" s="61">
        <v>3239</v>
      </c>
      <c r="B36" s="93" t="s">
        <v>59</v>
      </c>
      <c r="C36" s="63">
        <v>26154.07</v>
      </c>
      <c r="D36" s="63">
        <v>24508.95</v>
      </c>
      <c r="E36" s="63">
        <v>22905.94</v>
      </c>
      <c r="F36" s="63">
        <v>34713.800000000003</v>
      </c>
      <c r="G36" s="142">
        <v>33000</v>
      </c>
      <c r="H36" s="66">
        <f t="shared" si="12"/>
        <v>4379.8526776826593</v>
      </c>
      <c r="I36" s="76">
        <v>33000</v>
      </c>
      <c r="J36" s="68">
        <v>0</v>
      </c>
      <c r="K36" s="69">
        <f t="shared" si="13"/>
        <v>18810</v>
      </c>
      <c r="L36" s="69">
        <f t="shared" si="14"/>
        <v>7590</v>
      </c>
      <c r="M36" s="69">
        <f t="shared" si="15"/>
        <v>4620</v>
      </c>
      <c r="N36" s="69">
        <f t="shared" si="16"/>
        <v>1980</v>
      </c>
      <c r="O36" s="70">
        <f t="shared" si="1"/>
        <v>14190</v>
      </c>
      <c r="P36" s="71">
        <f t="shared" si="17"/>
        <v>33000</v>
      </c>
      <c r="Q36" s="96">
        <v>0</v>
      </c>
      <c r="R36" s="72">
        <f t="shared" si="18"/>
        <v>0</v>
      </c>
      <c r="S36" s="73">
        <v>35000</v>
      </c>
      <c r="T36" s="74">
        <v>35000</v>
      </c>
      <c r="U36" s="91">
        <f t="shared" si="3"/>
        <v>4379.8526776826593</v>
      </c>
      <c r="V36" s="76">
        <f t="shared" si="2"/>
        <v>4379.8526776826593</v>
      </c>
      <c r="W36" s="73">
        <f t="shared" si="9"/>
        <v>4645.298294511912</v>
      </c>
      <c r="X36" s="73">
        <f t="shared" si="9"/>
        <v>4645.298294511912</v>
      </c>
    </row>
    <row r="37" spans="1:24" ht="12.2" customHeight="1" x14ac:dyDescent="0.2">
      <c r="A37" s="77">
        <v>323</v>
      </c>
      <c r="B37" s="146" t="s">
        <v>60</v>
      </c>
      <c r="C37" s="79">
        <f>SUM(C29:C36)</f>
        <v>334140.26</v>
      </c>
      <c r="D37" s="79">
        <f>SUM(D29:D36)</f>
        <v>339281.14999999997</v>
      </c>
      <c r="E37" s="79">
        <f>SUM(E29:E36)</f>
        <v>253960.59999999998</v>
      </c>
      <c r="F37" s="79">
        <f>F29+F30+F31+F32+F33+F34+F35+F36</f>
        <v>305457.56</v>
      </c>
      <c r="G37" s="143">
        <f>SUM(G29:G36)</f>
        <v>400000</v>
      </c>
      <c r="H37" s="144">
        <f>SUM(H29:H36)</f>
        <v>53089.123365850421</v>
      </c>
      <c r="I37" s="92">
        <f>SUM(I29:I36)</f>
        <v>400000</v>
      </c>
      <c r="J37" s="83">
        <f>SUM(J29:J36)</f>
        <v>78969</v>
      </c>
      <c r="K37" s="84">
        <f t="shared" ref="K37:Q37" si="19">SUM(K29:K36)</f>
        <v>182987.66999999998</v>
      </c>
      <c r="L37" s="84">
        <f t="shared" si="19"/>
        <v>73837.13</v>
      </c>
      <c r="M37" s="84">
        <f t="shared" si="19"/>
        <v>44944.340000000004</v>
      </c>
      <c r="N37" s="84">
        <f t="shared" si="19"/>
        <v>19261.86</v>
      </c>
      <c r="O37" s="85">
        <f t="shared" si="1"/>
        <v>138043.33000000002</v>
      </c>
      <c r="P37" s="86">
        <f t="shared" si="19"/>
        <v>321031</v>
      </c>
      <c r="Q37" s="94">
        <f t="shared" si="19"/>
        <v>0</v>
      </c>
      <c r="R37" s="88">
        <f>SUM(R29:R36)</f>
        <v>0</v>
      </c>
      <c r="S37" s="89">
        <f>SUM(S29:S36)</f>
        <v>412000</v>
      </c>
      <c r="T37" s="90">
        <f>SUM(T29:T36)</f>
        <v>413000</v>
      </c>
      <c r="U37" s="91">
        <f t="shared" si="3"/>
        <v>53089.123365850421</v>
      </c>
      <c r="V37" s="92">
        <f>SUM(V29:V36)</f>
        <v>53089.123365850421</v>
      </c>
      <c r="W37" s="84">
        <f>SUM(W29:W36)</f>
        <v>54681.797066825937</v>
      </c>
      <c r="X37" s="84">
        <f>SUM(X29:X36)</f>
        <v>54814.519875240563</v>
      </c>
    </row>
    <row r="38" spans="1:24" ht="12.2" customHeight="1" x14ac:dyDescent="0.2">
      <c r="A38" s="147">
        <v>3291</v>
      </c>
      <c r="B38" s="62" t="s">
        <v>61</v>
      </c>
      <c r="C38" s="63">
        <v>33002.04</v>
      </c>
      <c r="D38" s="63">
        <v>33002.04</v>
      </c>
      <c r="E38" s="63">
        <v>16501.02</v>
      </c>
      <c r="F38" s="63">
        <v>0</v>
      </c>
      <c r="G38" s="65">
        <v>0</v>
      </c>
      <c r="H38" s="66">
        <f>G38/$U$9</f>
        <v>0</v>
      </c>
      <c r="I38" s="67">
        <v>0</v>
      </c>
      <c r="J38" s="68">
        <v>0</v>
      </c>
      <c r="K38" s="69">
        <f>P38*0.57</f>
        <v>0</v>
      </c>
      <c r="L38" s="69">
        <f>P38*0.23</f>
        <v>0</v>
      </c>
      <c r="M38" s="69">
        <f>P38*0.14</f>
        <v>0</v>
      </c>
      <c r="N38" s="69">
        <f>P38*0.06</f>
        <v>0</v>
      </c>
      <c r="O38" s="70">
        <f t="shared" si="1"/>
        <v>0</v>
      </c>
      <c r="P38" s="71">
        <f>I38-J38-Q38</f>
        <v>0</v>
      </c>
      <c r="Q38" s="96">
        <v>0</v>
      </c>
      <c r="R38" s="72">
        <f t="shared" si="18"/>
        <v>0</v>
      </c>
      <c r="S38" s="73">
        <v>0</v>
      </c>
      <c r="T38" s="74">
        <f>I38+R38</f>
        <v>0</v>
      </c>
      <c r="U38" s="91">
        <f t="shared" si="3"/>
        <v>0</v>
      </c>
      <c r="V38" s="76">
        <f t="shared" si="2"/>
        <v>0</v>
      </c>
      <c r="W38" s="73">
        <v>0</v>
      </c>
      <c r="X38" s="69">
        <f>M38+V38</f>
        <v>0</v>
      </c>
    </row>
    <row r="39" spans="1:24" ht="12.2" customHeight="1" x14ac:dyDescent="0.2">
      <c r="A39" s="147">
        <v>3292</v>
      </c>
      <c r="B39" s="62" t="s">
        <v>62</v>
      </c>
      <c r="C39" s="63">
        <v>101125</v>
      </c>
      <c r="D39" s="63">
        <v>93823.31</v>
      </c>
      <c r="E39" s="63">
        <v>53763.02</v>
      </c>
      <c r="F39" s="63">
        <v>52123.93</v>
      </c>
      <c r="G39" s="142">
        <v>58000</v>
      </c>
      <c r="H39" s="66">
        <f>G39/$U$9</f>
        <v>7697.9228880483106</v>
      </c>
      <c r="I39" s="76">
        <v>60000</v>
      </c>
      <c r="J39" s="68">
        <v>46443</v>
      </c>
      <c r="K39" s="69">
        <f>P39*0.57</f>
        <v>7727.49</v>
      </c>
      <c r="L39" s="69">
        <f>P39*0.23</f>
        <v>3118.11</v>
      </c>
      <c r="M39" s="69">
        <f>P39*0.14</f>
        <v>1897.9800000000002</v>
      </c>
      <c r="N39" s="69">
        <f>P39*0.06</f>
        <v>813.42</v>
      </c>
      <c r="O39" s="70">
        <f t="shared" si="1"/>
        <v>5829.51</v>
      </c>
      <c r="P39" s="71">
        <f>I39-J39-Q39</f>
        <v>13557</v>
      </c>
      <c r="Q39" s="96">
        <v>0</v>
      </c>
      <c r="R39" s="72">
        <f t="shared" si="18"/>
        <v>2000</v>
      </c>
      <c r="S39" s="73">
        <v>60000</v>
      </c>
      <c r="T39" s="74">
        <f>I39+R39</f>
        <v>62000</v>
      </c>
      <c r="U39" s="91">
        <f t="shared" si="3"/>
        <v>7963.3685048775624</v>
      </c>
      <c r="V39" s="76">
        <f t="shared" si="2"/>
        <v>7963.3685048775624</v>
      </c>
      <c r="W39" s="73">
        <f t="shared" ref="W39:X41" si="20">S39/$U$9</f>
        <v>7963.3685048775624</v>
      </c>
      <c r="X39" s="73">
        <f t="shared" si="20"/>
        <v>8228.8141217068151</v>
      </c>
    </row>
    <row r="40" spans="1:24" ht="12.2" customHeight="1" x14ac:dyDescent="0.2">
      <c r="A40" s="147">
        <v>3293</v>
      </c>
      <c r="B40" s="62" t="s">
        <v>63</v>
      </c>
      <c r="C40" s="63">
        <v>17994.72</v>
      </c>
      <c r="D40" s="63">
        <v>16819.72</v>
      </c>
      <c r="E40" s="63">
        <v>6083.9</v>
      </c>
      <c r="F40" s="63">
        <v>9696.65</v>
      </c>
      <c r="G40" s="142">
        <v>15000</v>
      </c>
      <c r="H40" s="66">
        <f>G40/$U$9</f>
        <v>1990.8421262193906</v>
      </c>
      <c r="I40" s="76">
        <v>15000</v>
      </c>
      <c r="J40" s="68">
        <v>0</v>
      </c>
      <c r="K40" s="69">
        <f>P40*0.57</f>
        <v>8550</v>
      </c>
      <c r="L40" s="69">
        <f>P40*0.23</f>
        <v>3450</v>
      </c>
      <c r="M40" s="69">
        <f>P40*0.14</f>
        <v>2100</v>
      </c>
      <c r="N40" s="69">
        <f>P40*0.06</f>
        <v>900</v>
      </c>
      <c r="O40" s="70">
        <f t="shared" si="1"/>
        <v>6450</v>
      </c>
      <c r="P40" s="71">
        <f>I40-J40-Q40</f>
        <v>15000</v>
      </c>
      <c r="Q40" s="96">
        <v>0</v>
      </c>
      <c r="R40" s="72">
        <f t="shared" si="18"/>
        <v>0</v>
      </c>
      <c r="S40" s="73">
        <v>15000</v>
      </c>
      <c r="T40" s="74">
        <f>I40+R40</f>
        <v>15000</v>
      </c>
      <c r="U40" s="91">
        <f t="shared" si="3"/>
        <v>1990.8421262193906</v>
      </c>
      <c r="V40" s="76">
        <f t="shared" si="2"/>
        <v>1990.8421262193906</v>
      </c>
      <c r="W40" s="73">
        <f t="shared" si="20"/>
        <v>1990.8421262193906</v>
      </c>
      <c r="X40" s="73">
        <f t="shared" si="20"/>
        <v>1990.8421262193906</v>
      </c>
    </row>
    <row r="41" spans="1:24" ht="12.2" customHeight="1" x14ac:dyDescent="0.2">
      <c r="A41" s="147">
        <v>3299</v>
      </c>
      <c r="B41" s="62" t="s">
        <v>64</v>
      </c>
      <c r="C41" s="63">
        <v>3077</v>
      </c>
      <c r="D41" s="63">
        <v>3615</v>
      </c>
      <c r="E41" s="63">
        <v>3070</v>
      </c>
      <c r="F41" s="63">
        <v>3261.34</v>
      </c>
      <c r="G41" s="142">
        <v>4000</v>
      </c>
      <c r="H41" s="66">
        <f>G41/$U$9</f>
        <v>530.89123365850423</v>
      </c>
      <c r="I41" s="76">
        <v>5000</v>
      </c>
      <c r="J41" s="68">
        <v>0</v>
      </c>
      <c r="K41" s="69">
        <f>P41*0.57</f>
        <v>2849.9999999999995</v>
      </c>
      <c r="L41" s="69">
        <f>P41*0.23</f>
        <v>1150</v>
      </c>
      <c r="M41" s="69">
        <f>P41*0.14</f>
        <v>700.00000000000011</v>
      </c>
      <c r="N41" s="69">
        <f>P41*0.06</f>
        <v>300</v>
      </c>
      <c r="O41" s="70">
        <f t="shared" si="1"/>
        <v>2150</v>
      </c>
      <c r="P41" s="71">
        <f>I41-J41-Q41</f>
        <v>5000</v>
      </c>
      <c r="Q41" s="96">
        <v>0</v>
      </c>
      <c r="R41" s="72">
        <f t="shared" si="18"/>
        <v>1000</v>
      </c>
      <c r="S41" s="73">
        <v>5000</v>
      </c>
      <c r="T41" s="74">
        <f>I41+R41</f>
        <v>6000</v>
      </c>
      <c r="U41" s="91">
        <f t="shared" si="3"/>
        <v>663.61404207313024</v>
      </c>
      <c r="V41" s="76">
        <f t="shared" si="2"/>
        <v>663.61404207313024</v>
      </c>
      <c r="W41" s="73">
        <f t="shared" si="20"/>
        <v>663.61404207313024</v>
      </c>
      <c r="X41" s="73">
        <f t="shared" si="20"/>
        <v>796.33685048775624</v>
      </c>
    </row>
    <row r="42" spans="1:24" ht="22.5" customHeight="1" thickBot="1" x14ac:dyDescent="0.25">
      <c r="A42" s="148">
        <v>329</v>
      </c>
      <c r="B42" s="99" t="s">
        <v>65</v>
      </c>
      <c r="C42" s="100">
        <f t="shared" ref="C42:Q42" si="21">SUM(C38:C41)</f>
        <v>155198.76</v>
      </c>
      <c r="D42" s="100">
        <f t="shared" si="21"/>
        <v>147260.07</v>
      </c>
      <c r="E42" s="100">
        <f t="shared" si="21"/>
        <v>79417.939999999988</v>
      </c>
      <c r="F42" s="100">
        <f t="shared" si="21"/>
        <v>65081.919999999998</v>
      </c>
      <c r="G42" s="149">
        <f>SUM(G38:G41)</f>
        <v>77000</v>
      </c>
      <c r="H42" s="150">
        <f>SUM(H38:H41)</f>
        <v>10219.656247926205</v>
      </c>
      <c r="I42" s="151">
        <f t="shared" si="21"/>
        <v>80000</v>
      </c>
      <c r="J42" s="104">
        <f t="shared" si="21"/>
        <v>46443</v>
      </c>
      <c r="K42" s="105">
        <f t="shared" si="21"/>
        <v>19127.489999999998</v>
      </c>
      <c r="L42" s="105">
        <f t="shared" si="21"/>
        <v>7718.1100000000006</v>
      </c>
      <c r="M42" s="105">
        <f t="shared" si="21"/>
        <v>4697.9800000000005</v>
      </c>
      <c r="N42" s="105">
        <f t="shared" si="21"/>
        <v>2013.42</v>
      </c>
      <c r="O42" s="106">
        <f t="shared" si="1"/>
        <v>14429.51</v>
      </c>
      <c r="P42" s="107">
        <f t="shared" si="21"/>
        <v>33557</v>
      </c>
      <c r="Q42" s="108">
        <f t="shared" si="21"/>
        <v>0</v>
      </c>
      <c r="R42" s="109">
        <f>SUM(R38:R41)</f>
        <v>3000</v>
      </c>
      <c r="S42" s="110">
        <f>SUM(S38:S41)</f>
        <v>80000</v>
      </c>
      <c r="T42" s="152">
        <f>SUM(T38:T41)</f>
        <v>83000</v>
      </c>
      <c r="U42" s="112">
        <f t="shared" si="3"/>
        <v>10617.824673170084</v>
      </c>
      <c r="V42" s="151">
        <f>SUM(V38:V41)</f>
        <v>10617.824673170084</v>
      </c>
      <c r="W42" s="105">
        <f>SUM(W38:W41)</f>
        <v>10617.824673170084</v>
      </c>
      <c r="X42" s="105">
        <f>SUM(X38:X41)</f>
        <v>11015.993098413963</v>
      </c>
    </row>
    <row r="43" spans="1:24" ht="12.2" customHeight="1" thickBot="1" x14ac:dyDescent="0.25">
      <c r="A43" s="153">
        <v>32</v>
      </c>
      <c r="B43" s="154" t="s">
        <v>66</v>
      </c>
      <c r="C43" s="115">
        <f t="shared" ref="C43:Q43" si="22">C22+C28+C37+C42</f>
        <v>1252343.7999999998</v>
      </c>
      <c r="D43" s="115">
        <f t="shared" si="22"/>
        <v>1190613.47</v>
      </c>
      <c r="E43" s="115">
        <f t="shared" si="22"/>
        <v>735576.40999999992</v>
      </c>
      <c r="F43" s="115">
        <f t="shared" si="22"/>
        <v>888380.46000000008</v>
      </c>
      <c r="G43" s="155">
        <f>G22+G28+G37+G42</f>
        <v>1358000</v>
      </c>
      <c r="H43" s="156">
        <f>H22+H28+H37+H42</f>
        <v>180237.57382706218</v>
      </c>
      <c r="I43" s="157">
        <f t="shared" si="22"/>
        <v>1234997</v>
      </c>
      <c r="J43" s="119">
        <f t="shared" si="22"/>
        <v>423371</v>
      </c>
      <c r="K43" s="120">
        <f t="shared" si="22"/>
        <v>461485.81999999995</v>
      </c>
      <c r="L43" s="120">
        <f t="shared" si="22"/>
        <v>186213.97999999998</v>
      </c>
      <c r="M43" s="120">
        <f t="shared" si="22"/>
        <v>113347.64</v>
      </c>
      <c r="N43" s="120">
        <f t="shared" si="22"/>
        <v>48577.56</v>
      </c>
      <c r="O43" s="121">
        <f t="shared" si="1"/>
        <v>348139.18</v>
      </c>
      <c r="P43" s="122">
        <f t="shared" si="22"/>
        <v>809626</v>
      </c>
      <c r="Q43" s="123">
        <f t="shared" si="22"/>
        <v>2000</v>
      </c>
      <c r="R43" s="158">
        <f>R22+R28+R37+R42</f>
        <v>-123003</v>
      </c>
      <c r="S43" s="125">
        <f>S22+S28+S37+S42</f>
        <v>1256000</v>
      </c>
      <c r="T43" s="126">
        <f>T22+T28+T37+T42</f>
        <v>1260000</v>
      </c>
      <c r="U43" s="127">
        <f t="shared" si="3"/>
        <v>163912.27022363793</v>
      </c>
      <c r="V43" s="157">
        <f>V22+V28+V37+V42</f>
        <v>163912.51576083348</v>
      </c>
      <c r="W43" s="120">
        <f>W22+W28+W37+W42</f>
        <v>166698.84736877031</v>
      </c>
      <c r="X43" s="120">
        <f>X22+X28+X37+X42</f>
        <v>167229.73860242881</v>
      </c>
    </row>
    <row r="44" spans="1:24" ht="12.2" hidden="1" customHeight="1" thickBot="1" x14ac:dyDescent="0.25">
      <c r="A44" s="159">
        <v>3431</v>
      </c>
      <c r="B44" s="129" t="s">
        <v>67</v>
      </c>
      <c r="C44" s="160"/>
      <c r="D44" s="160">
        <v>0</v>
      </c>
      <c r="E44" s="63">
        <v>0</v>
      </c>
      <c r="F44" s="63">
        <v>0</v>
      </c>
      <c r="G44" s="142">
        <v>0</v>
      </c>
      <c r="H44" s="161"/>
      <c r="I44" s="76">
        <v>0</v>
      </c>
      <c r="J44" s="133">
        <v>0</v>
      </c>
      <c r="K44" s="134">
        <f>P44*0.57</f>
        <v>0</v>
      </c>
      <c r="L44" s="134">
        <f>P44*0.23</f>
        <v>0</v>
      </c>
      <c r="M44" s="134">
        <f>P44*0.14</f>
        <v>0</v>
      </c>
      <c r="N44" s="134">
        <f>P44*0.06</f>
        <v>0</v>
      </c>
      <c r="O44" s="135">
        <f t="shared" si="1"/>
        <v>0</v>
      </c>
      <c r="P44" s="136">
        <f>D44-J44-Q44</f>
        <v>0</v>
      </c>
      <c r="Q44" s="137">
        <v>0</v>
      </c>
      <c r="R44" s="162"/>
      <c r="S44" s="138">
        <v>0</v>
      </c>
      <c r="T44" s="139"/>
      <c r="U44" s="127">
        <f t="shared" si="3"/>
        <v>0</v>
      </c>
      <c r="V44" s="163">
        <f t="shared" si="2"/>
        <v>0</v>
      </c>
      <c r="W44" s="138">
        <v>0</v>
      </c>
      <c r="X44" s="134"/>
    </row>
    <row r="45" spans="1:24" ht="12.2" customHeight="1" thickBot="1" x14ac:dyDescent="0.25">
      <c r="A45" s="164">
        <v>3</v>
      </c>
      <c r="B45" s="165" t="s">
        <v>68</v>
      </c>
      <c r="C45" s="166">
        <f t="shared" ref="C45:N45" si="23">C18+C43</f>
        <v>7825673.6200000001</v>
      </c>
      <c r="D45" s="166">
        <f t="shared" si="23"/>
        <v>7914861.7800000003</v>
      </c>
      <c r="E45" s="166">
        <f t="shared" si="23"/>
        <v>7203399.71</v>
      </c>
      <c r="F45" s="166">
        <f t="shared" si="23"/>
        <v>7322488.7199999997</v>
      </c>
      <c r="G45" s="167">
        <f t="shared" si="23"/>
        <v>8828000</v>
      </c>
      <c r="H45" s="168">
        <f t="shared" si="23"/>
        <v>1171676.9526843189</v>
      </c>
      <c r="I45" s="169">
        <f t="shared" si="23"/>
        <v>9855000</v>
      </c>
      <c r="J45" s="170">
        <f t="shared" si="23"/>
        <v>4212501</v>
      </c>
      <c r="K45" s="171">
        <f t="shared" si="23"/>
        <v>3215084.4299999997</v>
      </c>
      <c r="L45" s="171">
        <f t="shared" si="23"/>
        <v>1297314.77</v>
      </c>
      <c r="M45" s="171">
        <f t="shared" si="23"/>
        <v>789669.8600000001</v>
      </c>
      <c r="N45" s="171">
        <f t="shared" si="23"/>
        <v>338429.94</v>
      </c>
      <c r="O45" s="172">
        <f t="shared" si="1"/>
        <v>2425414.5700000003</v>
      </c>
      <c r="P45" s="173">
        <f>P18+P43</f>
        <v>5640499</v>
      </c>
      <c r="Q45" s="174">
        <f>Q18+Q43</f>
        <v>2000</v>
      </c>
      <c r="R45" s="158">
        <f>R18+R43</f>
        <v>1027000</v>
      </c>
      <c r="S45" s="175">
        <f>S18+S43</f>
        <v>10438167</v>
      </c>
      <c r="T45" s="176">
        <f>T18+T43</f>
        <v>10175565</v>
      </c>
      <c r="U45" s="177">
        <f t="shared" si="3"/>
        <v>1307983.2769261396</v>
      </c>
      <c r="V45" s="169">
        <f>V18+V43</f>
        <v>1307983.5224633352</v>
      </c>
      <c r="W45" s="171">
        <f>W18+W43</f>
        <v>1385381.8389408719</v>
      </c>
      <c r="X45" s="171">
        <f>X18+X43</f>
        <v>1350528.5640055742</v>
      </c>
    </row>
    <row r="46" spans="1:24" ht="12.2" customHeight="1" x14ac:dyDescent="0.2">
      <c r="A46" s="178">
        <v>4221</v>
      </c>
      <c r="B46" s="179" t="s">
        <v>69</v>
      </c>
      <c r="C46" s="180">
        <v>9999.75</v>
      </c>
      <c r="D46" s="180">
        <v>2799.96</v>
      </c>
      <c r="E46" s="180">
        <v>9857.25</v>
      </c>
      <c r="F46" s="180">
        <v>31456.84</v>
      </c>
      <c r="G46" s="181">
        <v>8000</v>
      </c>
      <c r="H46" s="66">
        <f t="shared" ref="H46:H55" si="24">G46/$U$9</f>
        <v>1061.7824673170085</v>
      </c>
      <c r="I46" s="182">
        <v>25000</v>
      </c>
      <c r="J46" s="183">
        <v>0</v>
      </c>
      <c r="K46" s="184">
        <f t="shared" ref="K46:K55" si="25">P46*0.57</f>
        <v>14249.999999999998</v>
      </c>
      <c r="L46" s="184">
        <f t="shared" ref="L46:L55" si="26">P46*0.23</f>
        <v>5750</v>
      </c>
      <c r="M46" s="184">
        <f t="shared" ref="M46:M55" si="27">P46*0.14</f>
        <v>3500.0000000000005</v>
      </c>
      <c r="N46" s="184">
        <f t="shared" ref="N46:N55" si="28">P46*0.06</f>
        <v>1500</v>
      </c>
      <c r="O46" s="185">
        <f t="shared" si="1"/>
        <v>10750</v>
      </c>
      <c r="P46" s="186">
        <f t="shared" ref="P46:P61" si="29">I46-J46-Q46</f>
        <v>25000</v>
      </c>
      <c r="Q46" s="187">
        <v>0</v>
      </c>
      <c r="R46" s="72">
        <f t="shared" ref="R46:R62" si="30">I46-G46</f>
        <v>17000</v>
      </c>
      <c r="S46" s="188">
        <v>10000</v>
      </c>
      <c r="T46" s="189">
        <f t="shared" ref="T46:T54" si="31">I46+R46+S46</f>
        <v>52000</v>
      </c>
      <c r="U46" s="140">
        <f t="shared" si="3"/>
        <v>3318.0702103656513</v>
      </c>
      <c r="V46" s="141">
        <f t="shared" si="2"/>
        <v>3318.0702103656513</v>
      </c>
      <c r="W46" s="73">
        <f t="shared" ref="W46:X62" si="32">S46/$U$9</f>
        <v>1327.2280841462605</v>
      </c>
      <c r="X46" s="73">
        <f t="shared" si="32"/>
        <v>6901.5860375605544</v>
      </c>
    </row>
    <row r="47" spans="1:24" ht="12.2" customHeight="1" x14ac:dyDescent="0.2">
      <c r="A47" s="190">
        <v>4222</v>
      </c>
      <c r="B47" s="191" t="s">
        <v>70</v>
      </c>
      <c r="C47" s="63">
        <v>0</v>
      </c>
      <c r="D47" s="63">
        <v>0</v>
      </c>
      <c r="E47" s="63">
        <v>0</v>
      </c>
      <c r="F47" s="63">
        <v>15982</v>
      </c>
      <c r="G47" s="142">
        <v>16500</v>
      </c>
      <c r="H47" s="66">
        <f t="shared" si="24"/>
        <v>2189.9263388413297</v>
      </c>
      <c r="I47" s="76">
        <v>15000</v>
      </c>
      <c r="J47" s="68">
        <v>0</v>
      </c>
      <c r="K47" s="69">
        <f t="shared" si="25"/>
        <v>8550</v>
      </c>
      <c r="L47" s="69">
        <f t="shared" si="26"/>
        <v>3450</v>
      </c>
      <c r="M47" s="69">
        <f t="shared" si="27"/>
        <v>2100</v>
      </c>
      <c r="N47" s="69">
        <f t="shared" si="28"/>
        <v>900</v>
      </c>
      <c r="O47" s="192">
        <f t="shared" si="1"/>
        <v>6450</v>
      </c>
      <c r="P47" s="71">
        <f t="shared" si="29"/>
        <v>15000</v>
      </c>
      <c r="Q47" s="69">
        <v>0</v>
      </c>
      <c r="R47" s="72">
        <f t="shared" si="30"/>
        <v>-1500</v>
      </c>
      <c r="S47" s="73">
        <v>10000</v>
      </c>
      <c r="T47" s="74">
        <f t="shared" si="31"/>
        <v>23500</v>
      </c>
      <c r="U47" s="91">
        <f t="shared" si="3"/>
        <v>1990.8421262193906</v>
      </c>
      <c r="V47" s="76">
        <f t="shared" si="2"/>
        <v>1990.8421262193906</v>
      </c>
      <c r="W47" s="73">
        <f t="shared" si="32"/>
        <v>1327.2280841462605</v>
      </c>
      <c r="X47" s="73">
        <f t="shared" si="32"/>
        <v>3118.9859977437122</v>
      </c>
    </row>
    <row r="48" spans="1:24" ht="12.2" customHeight="1" x14ac:dyDescent="0.2">
      <c r="A48" s="147">
        <v>4223</v>
      </c>
      <c r="B48" s="62" t="s">
        <v>71</v>
      </c>
      <c r="C48" s="63">
        <v>86140</v>
      </c>
      <c r="D48" s="63">
        <v>109229.58</v>
      </c>
      <c r="E48" s="63">
        <v>26486.3</v>
      </c>
      <c r="F48" s="63">
        <v>76149.66</v>
      </c>
      <c r="G48" s="142">
        <v>141000</v>
      </c>
      <c r="H48" s="66">
        <f t="shared" si="24"/>
        <v>18713.915986462274</v>
      </c>
      <c r="I48" s="76">
        <v>115000</v>
      </c>
      <c r="J48" s="68">
        <v>0</v>
      </c>
      <c r="K48" s="69">
        <f t="shared" si="25"/>
        <v>48449.999999999993</v>
      </c>
      <c r="L48" s="69">
        <f t="shared" si="26"/>
        <v>19550</v>
      </c>
      <c r="M48" s="69">
        <f t="shared" si="27"/>
        <v>11900.000000000002</v>
      </c>
      <c r="N48" s="69">
        <f t="shared" si="28"/>
        <v>5100</v>
      </c>
      <c r="O48" s="192">
        <f t="shared" si="1"/>
        <v>36550</v>
      </c>
      <c r="P48" s="71">
        <f t="shared" si="29"/>
        <v>85000</v>
      </c>
      <c r="Q48" s="96">
        <v>30000</v>
      </c>
      <c r="R48" s="72">
        <f t="shared" si="30"/>
        <v>-26000</v>
      </c>
      <c r="S48" s="73">
        <v>150000</v>
      </c>
      <c r="T48" s="74">
        <f t="shared" si="31"/>
        <v>239000</v>
      </c>
      <c r="U48" s="91">
        <f t="shared" si="3"/>
        <v>15263.122967681995</v>
      </c>
      <c r="V48" s="76">
        <f t="shared" si="2"/>
        <v>15263.122967681995</v>
      </c>
      <c r="W48" s="73">
        <f t="shared" si="32"/>
        <v>19908.421262193908</v>
      </c>
      <c r="X48" s="73">
        <f t="shared" si="32"/>
        <v>31720.751211095627</v>
      </c>
    </row>
    <row r="49" spans="1:24" ht="12.2" customHeight="1" x14ac:dyDescent="0.2">
      <c r="A49" s="147">
        <v>4262</v>
      </c>
      <c r="B49" s="62" t="s">
        <v>72</v>
      </c>
      <c r="C49" s="63">
        <v>0</v>
      </c>
      <c r="D49" s="63">
        <v>2085</v>
      </c>
      <c r="E49" s="193">
        <v>3948</v>
      </c>
      <c r="F49" s="193">
        <v>12500</v>
      </c>
      <c r="G49" s="194">
        <v>0</v>
      </c>
      <c r="H49" s="66">
        <f t="shared" si="24"/>
        <v>0</v>
      </c>
      <c r="I49" s="113">
        <v>16000</v>
      </c>
      <c r="J49" s="195">
        <v>0</v>
      </c>
      <c r="K49" s="69">
        <f t="shared" si="25"/>
        <v>9120</v>
      </c>
      <c r="L49" s="69">
        <f t="shared" si="26"/>
        <v>3680</v>
      </c>
      <c r="M49" s="69">
        <f t="shared" si="27"/>
        <v>2240</v>
      </c>
      <c r="N49" s="69">
        <f t="shared" si="28"/>
        <v>960</v>
      </c>
      <c r="O49" s="192">
        <f t="shared" si="1"/>
        <v>6880</v>
      </c>
      <c r="P49" s="71">
        <f t="shared" si="29"/>
        <v>16000</v>
      </c>
      <c r="Q49" s="96">
        <v>0</v>
      </c>
      <c r="R49" s="72">
        <f t="shared" si="30"/>
        <v>16000</v>
      </c>
      <c r="S49" s="73">
        <v>5000</v>
      </c>
      <c r="T49" s="74">
        <f t="shared" si="31"/>
        <v>37000</v>
      </c>
      <c r="U49" s="91">
        <f t="shared" si="3"/>
        <v>2123.5649346340169</v>
      </c>
      <c r="V49" s="76">
        <f t="shared" si="2"/>
        <v>2123.5649346340169</v>
      </c>
      <c r="W49" s="73">
        <f t="shared" si="32"/>
        <v>663.61404207313024</v>
      </c>
      <c r="X49" s="73">
        <f t="shared" si="32"/>
        <v>4910.7439113411638</v>
      </c>
    </row>
    <row r="50" spans="1:24" ht="12.2" customHeight="1" x14ac:dyDescent="0.2">
      <c r="A50" s="147">
        <v>4531</v>
      </c>
      <c r="B50" s="62" t="s">
        <v>73</v>
      </c>
      <c r="C50" s="63">
        <v>0</v>
      </c>
      <c r="D50" s="63">
        <v>0</v>
      </c>
      <c r="E50" s="193">
        <v>0</v>
      </c>
      <c r="F50" s="193">
        <v>0</v>
      </c>
      <c r="G50" s="196">
        <v>20000</v>
      </c>
      <c r="H50" s="66">
        <f t="shared" si="24"/>
        <v>2654.4561682925209</v>
      </c>
      <c r="I50" s="197">
        <v>24000</v>
      </c>
      <c r="J50" s="195">
        <v>0</v>
      </c>
      <c r="K50" s="69">
        <f t="shared" si="25"/>
        <v>13679.999999999998</v>
      </c>
      <c r="L50" s="69">
        <f t="shared" si="26"/>
        <v>5520</v>
      </c>
      <c r="M50" s="69">
        <f t="shared" si="27"/>
        <v>3360.0000000000005</v>
      </c>
      <c r="N50" s="69">
        <f t="shared" si="28"/>
        <v>1440</v>
      </c>
      <c r="O50" s="192">
        <f t="shared" si="1"/>
        <v>10320</v>
      </c>
      <c r="P50" s="71">
        <f t="shared" si="29"/>
        <v>24000</v>
      </c>
      <c r="Q50" s="96">
        <v>0</v>
      </c>
      <c r="R50" s="72">
        <f t="shared" si="30"/>
        <v>4000</v>
      </c>
      <c r="S50" s="73">
        <v>0</v>
      </c>
      <c r="T50" s="74">
        <v>0</v>
      </c>
      <c r="U50" s="91">
        <f t="shared" si="3"/>
        <v>3185.3474019510249</v>
      </c>
      <c r="V50" s="76">
        <f t="shared" si="2"/>
        <v>3185.3474019510249</v>
      </c>
      <c r="W50" s="73">
        <f t="shared" si="32"/>
        <v>0</v>
      </c>
      <c r="X50" s="73">
        <f t="shared" si="32"/>
        <v>0</v>
      </c>
    </row>
    <row r="51" spans="1:24" ht="20.25" customHeight="1" x14ac:dyDescent="0.2">
      <c r="A51" s="61">
        <v>5445</v>
      </c>
      <c r="B51" s="62" t="s">
        <v>74</v>
      </c>
      <c r="C51" s="63">
        <v>232152.75</v>
      </c>
      <c r="D51" s="63">
        <v>165739.46</v>
      </c>
      <c r="E51" s="193">
        <v>175088.37</v>
      </c>
      <c r="F51" s="193">
        <v>184964.76</v>
      </c>
      <c r="G51" s="194">
        <v>196000</v>
      </c>
      <c r="H51" s="66">
        <f t="shared" si="24"/>
        <v>26013.670449266705</v>
      </c>
      <c r="I51" s="113">
        <v>207000</v>
      </c>
      <c r="J51" s="195">
        <v>0</v>
      </c>
      <c r="K51" s="69">
        <f t="shared" si="25"/>
        <v>117989.99999999999</v>
      </c>
      <c r="L51" s="69">
        <f t="shared" si="26"/>
        <v>47610</v>
      </c>
      <c r="M51" s="69">
        <f t="shared" si="27"/>
        <v>28980.000000000004</v>
      </c>
      <c r="N51" s="69">
        <f t="shared" si="28"/>
        <v>12420</v>
      </c>
      <c r="O51" s="192">
        <f t="shared" si="1"/>
        <v>89010</v>
      </c>
      <c r="P51" s="71">
        <f t="shared" si="29"/>
        <v>207000</v>
      </c>
      <c r="Q51" s="96">
        <v>0</v>
      </c>
      <c r="R51" s="72">
        <f t="shared" si="30"/>
        <v>11000</v>
      </c>
      <c r="S51" s="73">
        <v>0</v>
      </c>
      <c r="T51" s="74">
        <v>0</v>
      </c>
      <c r="U51" s="91">
        <f t="shared" si="3"/>
        <v>27473.621341827591</v>
      </c>
      <c r="V51" s="76">
        <f t="shared" si="2"/>
        <v>27473.621341827591</v>
      </c>
      <c r="W51" s="73">
        <f t="shared" si="32"/>
        <v>0</v>
      </c>
      <c r="X51" s="73">
        <f t="shared" si="32"/>
        <v>0</v>
      </c>
    </row>
    <row r="52" spans="1:24" ht="20.25" customHeight="1" x14ac:dyDescent="0.2">
      <c r="A52" s="61">
        <v>3423</v>
      </c>
      <c r="B52" s="62" t="s">
        <v>75</v>
      </c>
      <c r="C52" s="63">
        <v>0</v>
      </c>
      <c r="D52" s="63">
        <v>46936.9</v>
      </c>
      <c r="E52" s="193">
        <v>37587.99</v>
      </c>
      <c r="F52" s="193">
        <v>27711.599999999999</v>
      </c>
      <c r="G52" s="194">
        <v>19000</v>
      </c>
      <c r="H52" s="66">
        <f t="shared" si="24"/>
        <v>2521.7333598778951</v>
      </c>
      <c r="I52" s="113">
        <v>8000</v>
      </c>
      <c r="J52" s="195">
        <v>0</v>
      </c>
      <c r="K52" s="69">
        <f t="shared" si="25"/>
        <v>4560</v>
      </c>
      <c r="L52" s="69">
        <f t="shared" si="26"/>
        <v>1840</v>
      </c>
      <c r="M52" s="69">
        <f t="shared" si="27"/>
        <v>1120</v>
      </c>
      <c r="N52" s="69">
        <f t="shared" si="28"/>
        <v>480</v>
      </c>
      <c r="O52" s="192">
        <f t="shared" si="1"/>
        <v>3440</v>
      </c>
      <c r="P52" s="71">
        <f t="shared" si="29"/>
        <v>8000</v>
      </c>
      <c r="Q52" s="96">
        <v>0</v>
      </c>
      <c r="R52" s="72">
        <f t="shared" si="30"/>
        <v>-11000</v>
      </c>
      <c r="S52" s="73">
        <v>0</v>
      </c>
      <c r="T52" s="74">
        <v>0</v>
      </c>
      <c r="U52" s="91">
        <f t="shared" si="3"/>
        <v>1061.7824673170085</v>
      </c>
      <c r="V52" s="76">
        <f t="shared" si="2"/>
        <v>1061.7824673170085</v>
      </c>
      <c r="W52" s="73">
        <f t="shared" si="32"/>
        <v>0</v>
      </c>
      <c r="X52" s="73">
        <f t="shared" si="32"/>
        <v>0</v>
      </c>
    </row>
    <row r="53" spans="1:24" ht="20.25" customHeight="1" x14ac:dyDescent="0.2">
      <c r="A53" s="61">
        <v>3299</v>
      </c>
      <c r="B53" s="62" t="s">
        <v>65</v>
      </c>
      <c r="C53" s="63">
        <v>8705.73</v>
      </c>
      <c r="D53" s="64">
        <v>0</v>
      </c>
      <c r="E53" s="193">
        <v>0</v>
      </c>
      <c r="F53" s="193">
        <v>0</v>
      </c>
      <c r="G53" s="194">
        <v>0</v>
      </c>
      <c r="H53" s="66">
        <f t="shared" si="24"/>
        <v>0</v>
      </c>
      <c r="I53" s="113">
        <v>0</v>
      </c>
      <c r="J53" s="195">
        <v>0</v>
      </c>
      <c r="K53" s="69">
        <f t="shared" si="25"/>
        <v>0</v>
      </c>
      <c r="L53" s="69">
        <f t="shared" si="26"/>
        <v>0</v>
      </c>
      <c r="M53" s="69">
        <f t="shared" si="27"/>
        <v>0</v>
      </c>
      <c r="N53" s="69">
        <f t="shared" si="28"/>
        <v>0</v>
      </c>
      <c r="O53" s="192">
        <f t="shared" si="1"/>
        <v>0</v>
      </c>
      <c r="P53" s="71">
        <f t="shared" si="29"/>
        <v>0</v>
      </c>
      <c r="Q53" s="96">
        <v>0</v>
      </c>
      <c r="R53" s="72">
        <f t="shared" si="30"/>
        <v>0</v>
      </c>
      <c r="S53" s="73">
        <v>0</v>
      </c>
      <c r="T53" s="74">
        <f t="shared" si="31"/>
        <v>0</v>
      </c>
      <c r="U53" s="91">
        <f t="shared" si="3"/>
        <v>0</v>
      </c>
      <c r="V53" s="76">
        <f t="shared" si="2"/>
        <v>0</v>
      </c>
      <c r="W53" s="73">
        <f t="shared" si="32"/>
        <v>0</v>
      </c>
      <c r="X53" s="73">
        <f t="shared" si="32"/>
        <v>0</v>
      </c>
    </row>
    <row r="54" spans="1:24" ht="20.25" customHeight="1" x14ac:dyDescent="0.2">
      <c r="A54" s="61">
        <v>3821</v>
      </c>
      <c r="B54" s="62" t="s">
        <v>76</v>
      </c>
      <c r="C54" s="63">
        <v>0</v>
      </c>
      <c r="D54" s="64">
        <v>0</v>
      </c>
      <c r="E54" s="193">
        <v>8500</v>
      </c>
      <c r="F54" s="193">
        <v>0</v>
      </c>
      <c r="G54" s="194">
        <v>0</v>
      </c>
      <c r="H54" s="66">
        <f t="shared" si="24"/>
        <v>0</v>
      </c>
      <c r="I54" s="113">
        <v>0</v>
      </c>
      <c r="J54" s="195"/>
      <c r="K54" s="69">
        <f t="shared" si="25"/>
        <v>0</v>
      </c>
      <c r="L54" s="69">
        <f t="shared" si="26"/>
        <v>0</v>
      </c>
      <c r="M54" s="69">
        <f t="shared" si="27"/>
        <v>0</v>
      </c>
      <c r="N54" s="69">
        <f t="shared" si="28"/>
        <v>0</v>
      </c>
      <c r="O54" s="192">
        <f t="shared" si="1"/>
        <v>0</v>
      </c>
      <c r="P54" s="71">
        <f t="shared" si="29"/>
        <v>0</v>
      </c>
      <c r="Q54" s="96">
        <v>0</v>
      </c>
      <c r="R54" s="72">
        <f t="shared" si="30"/>
        <v>0</v>
      </c>
      <c r="S54" s="73">
        <v>0</v>
      </c>
      <c r="T54" s="74">
        <f t="shared" si="31"/>
        <v>0</v>
      </c>
      <c r="U54" s="91">
        <f t="shared" si="3"/>
        <v>0</v>
      </c>
      <c r="V54" s="76">
        <f t="shared" si="2"/>
        <v>0</v>
      </c>
      <c r="W54" s="73">
        <f t="shared" si="32"/>
        <v>0</v>
      </c>
      <c r="X54" s="73">
        <f t="shared" si="32"/>
        <v>0</v>
      </c>
    </row>
    <row r="55" spans="1:24" ht="20.25" customHeight="1" x14ac:dyDescent="0.2">
      <c r="A55" s="61">
        <v>4231</v>
      </c>
      <c r="B55" s="62" t="s">
        <v>77</v>
      </c>
      <c r="C55" s="63">
        <v>1160763.75</v>
      </c>
      <c r="D55" s="64">
        <v>0</v>
      </c>
      <c r="E55" s="193">
        <v>0</v>
      </c>
      <c r="F55" s="193">
        <v>0</v>
      </c>
      <c r="G55" s="194">
        <v>0</v>
      </c>
      <c r="H55" s="66">
        <f t="shared" si="24"/>
        <v>0</v>
      </c>
      <c r="I55" s="113">
        <v>0</v>
      </c>
      <c r="J55" s="195">
        <v>0</v>
      </c>
      <c r="K55" s="69">
        <f t="shared" si="25"/>
        <v>0</v>
      </c>
      <c r="L55" s="69">
        <f t="shared" si="26"/>
        <v>0</v>
      </c>
      <c r="M55" s="69">
        <f t="shared" si="27"/>
        <v>0</v>
      </c>
      <c r="N55" s="69">
        <f t="shared" si="28"/>
        <v>0</v>
      </c>
      <c r="O55" s="192">
        <f t="shared" si="1"/>
        <v>0</v>
      </c>
      <c r="P55" s="71">
        <f t="shared" si="29"/>
        <v>0</v>
      </c>
      <c r="Q55" s="96">
        <v>0</v>
      </c>
      <c r="R55" s="72">
        <f t="shared" si="30"/>
        <v>0</v>
      </c>
      <c r="S55" s="198">
        <v>2000000</v>
      </c>
      <c r="T55" s="74">
        <v>0</v>
      </c>
      <c r="U55" s="91">
        <f t="shared" si="3"/>
        <v>0</v>
      </c>
      <c r="V55" s="76">
        <f t="shared" si="2"/>
        <v>0</v>
      </c>
      <c r="W55" s="73">
        <f t="shared" si="32"/>
        <v>265445.6168292521</v>
      </c>
      <c r="X55" s="73">
        <f t="shared" si="32"/>
        <v>0</v>
      </c>
    </row>
    <row r="56" spans="1:24" ht="21.75" customHeight="1" x14ac:dyDescent="0.2">
      <c r="A56" s="199" t="s">
        <v>78</v>
      </c>
      <c r="B56" s="200" t="s">
        <v>79</v>
      </c>
      <c r="C56" s="201">
        <f>SUM(C46:C55)</f>
        <v>1497761.98</v>
      </c>
      <c r="D56" s="201">
        <f>SUM(D46:D55)</f>
        <v>326790.90000000002</v>
      </c>
      <c r="E56" s="202">
        <f>SUM(E46:E55)</f>
        <v>261467.90999999997</v>
      </c>
      <c r="F56" s="202">
        <f>SUM(F46:F55)</f>
        <v>348764.86</v>
      </c>
      <c r="G56" s="203">
        <f>G46+G47+G48+G49+G51+G52+G53+G54+G55+G50</f>
        <v>400500</v>
      </c>
      <c r="H56" s="204">
        <f>H46+H47+H48+H49+H51+H52+H53+H54+H55+H50</f>
        <v>53155.48477005773</v>
      </c>
      <c r="I56" s="205">
        <f>I46+I47+I48+I49+I51+I52+I53+I54+I55+I50</f>
        <v>410000</v>
      </c>
      <c r="J56" s="206">
        <f>SUM(J46:J55)</f>
        <v>0</v>
      </c>
      <c r="K56" s="207">
        <f>SUM(K46:K55)</f>
        <v>216600</v>
      </c>
      <c r="L56" s="207">
        <f>SUM(L46:L55)</f>
        <v>87400</v>
      </c>
      <c r="M56" s="207">
        <f>SUM(M46:M55)</f>
        <v>53200</v>
      </c>
      <c r="N56" s="207">
        <f t="shared" ref="N56:T56" si="33">SUM(N46:N55)</f>
        <v>22800</v>
      </c>
      <c r="O56" s="208">
        <f t="shared" si="33"/>
        <v>163400</v>
      </c>
      <c r="P56" s="209">
        <f t="shared" si="33"/>
        <v>380000</v>
      </c>
      <c r="Q56" s="210">
        <f t="shared" si="33"/>
        <v>30000</v>
      </c>
      <c r="R56" s="211">
        <f t="shared" si="33"/>
        <v>9500</v>
      </c>
      <c r="S56" s="212">
        <f t="shared" si="33"/>
        <v>2175000</v>
      </c>
      <c r="T56" s="213">
        <f t="shared" si="33"/>
        <v>351500</v>
      </c>
      <c r="U56" s="214">
        <f>I56/$U$9</f>
        <v>54416.351449996677</v>
      </c>
      <c r="V56" s="215">
        <f>V46+V47+V48+V49+V50+V51+V52+V53+V54+V55</f>
        <v>54416.351449996684</v>
      </c>
      <c r="W56" s="212">
        <f>W46+W47+W48+W49+W50+W51+W52+W53+W54+W55</f>
        <v>288672.10830181168</v>
      </c>
      <c r="X56" s="212">
        <f>X46+X47+X48+X49+X50+X51+X52+X53+X54+X55+1</f>
        <v>46653.067157741054</v>
      </c>
    </row>
    <row r="57" spans="1:24" ht="33.75" x14ac:dyDescent="0.2">
      <c r="A57" s="61">
        <v>4212</v>
      </c>
      <c r="B57" s="216" t="s">
        <v>80</v>
      </c>
      <c r="C57" s="63">
        <v>0</v>
      </c>
      <c r="D57" s="63">
        <v>0</v>
      </c>
      <c r="E57" s="63">
        <v>0</v>
      </c>
      <c r="F57" s="63">
        <v>0</v>
      </c>
      <c r="G57" s="142">
        <v>3500000</v>
      </c>
      <c r="H57" s="66">
        <f t="shared" ref="H57:H62" si="34">G57/$U$9</f>
        <v>464529.82945119118</v>
      </c>
      <c r="I57" s="76">
        <v>3500000</v>
      </c>
      <c r="J57" s="145">
        <v>0</v>
      </c>
      <c r="K57" s="73">
        <v>0</v>
      </c>
      <c r="L57" s="73">
        <v>0</v>
      </c>
      <c r="M57" s="73">
        <v>0</v>
      </c>
      <c r="N57" s="73">
        <v>0</v>
      </c>
      <c r="O57" s="217">
        <v>0</v>
      </c>
      <c r="P57" s="71">
        <f t="shared" si="29"/>
        <v>0</v>
      </c>
      <c r="Q57" s="96">
        <f>I57</f>
        <v>3500000</v>
      </c>
      <c r="R57" s="72">
        <f t="shared" si="30"/>
        <v>0</v>
      </c>
      <c r="S57" s="73">
        <v>21800000</v>
      </c>
      <c r="T57" s="74">
        <v>24000000</v>
      </c>
      <c r="U57" s="91">
        <f t="shared" si="3"/>
        <v>464529.82945119118</v>
      </c>
      <c r="V57" s="76">
        <f t="shared" si="2"/>
        <v>464529.82945119118</v>
      </c>
      <c r="W57" s="73">
        <f t="shared" si="32"/>
        <v>2893357.2234388478</v>
      </c>
      <c r="X57" s="73">
        <f t="shared" si="32"/>
        <v>3185347.4019510252</v>
      </c>
    </row>
    <row r="58" spans="1:24" ht="33.75" x14ac:dyDescent="0.2">
      <c r="A58" s="61">
        <v>4212</v>
      </c>
      <c r="B58" s="216" t="s">
        <v>81</v>
      </c>
      <c r="C58" s="63">
        <v>0</v>
      </c>
      <c r="D58" s="63">
        <v>0</v>
      </c>
      <c r="E58" s="63">
        <v>0</v>
      </c>
      <c r="F58" s="63">
        <v>0</v>
      </c>
      <c r="G58" s="142">
        <v>1500000</v>
      </c>
      <c r="H58" s="66">
        <f t="shared" si="34"/>
        <v>199084.21262193908</v>
      </c>
      <c r="I58" s="76">
        <v>1500000</v>
      </c>
      <c r="J58" s="68">
        <v>0</v>
      </c>
      <c r="K58" s="69">
        <v>0</v>
      </c>
      <c r="L58" s="69">
        <v>0</v>
      </c>
      <c r="M58" s="69">
        <v>0</v>
      </c>
      <c r="N58" s="69">
        <v>0</v>
      </c>
      <c r="O58" s="70">
        <v>0</v>
      </c>
      <c r="P58" s="71">
        <f t="shared" si="29"/>
        <v>0</v>
      </c>
      <c r="Q58" s="96">
        <f>I58</f>
        <v>1500000</v>
      </c>
      <c r="R58" s="72">
        <f t="shared" si="30"/>
        <v>0</v>
      </c>
      <c r="S58" s="73">
        <v>7200000</v>
      </c>
      <c r="T58" s="74">
        <v>0</v>
      </c>
      <c r="U58" s="91">
        <f t="shared" si="3"/>
        <v>199084.21262193908</v>
      </c>
      <c r="V58" s="76">
        <f t="shared" si="2"/>
        <v>199084.21262193908</v>
      </c>
      <c r="W58" s="73">
        <f t="shared" si="32"/>
        <v>955604.22058530757</v>
      </c>
      <c r="X58" s="73">
        <f t="shared" si="32"/>
        <v>0</v>
      </c>
    </row>
    <row r="59" spans="1:24" ht="22.5" x14ac:dyDescent="0.2">
      <c r="A59" s="61">
        <v>4212</v>
      </c>
      <c r="B59" s="216" t="s">
        <v>82</v>
      </c>
      <c r="C59" s="63">
        <v>0</v>
      </c>
      <c r="D59" s="63">
        <v>0</v>
      </c>
      <c r="E59" s="63">
        <v>0</v>
      </c>
      <c r="F59" s="63">
        <v>0</v>
      </c>
      <c r="G59" s="142">
        <v>0</v>
      </c>
      <c r="H59" s="66">
        <f t="shared" si="34"/>
        <v>0</v>
      </c>
      <c r="I59" s="76">
        <v>0</v>
      </c>
      <c r="J59" s="68">
        <v>0</v>
      </c>
      <c r="K59" s="69">
        <f>I59*0.57</f>
        <v>0</v>
      </c>
      <c r="L59" s="69">
        <f>I59*0.23</f>
        <v>0</v>
      </c>
      <c r="M59" s="69">
        <f>I59*0.14</f>
        <v>0</v>
      </c>
      <c r="N59" s="69">
        <f>I59*0.06</f>
        <v>0</v>
      </c>
      <c r="O59" s="192">
        <f>I59-K59</f>
        <v>0</v>
      </c>
      <c r="P59" s="71">
        <f t="shared" si="29"/>
        <v>0</v>
      </c>
      <c r="Q59" s="96">
        <v>0</v>
      </c>
      <c r="R59" s="72">
        <f t="shared" si="30"/>
        <v>0</v>
      </c>
      <c r="S59" s="73"/>
      <c r="T59" s="74">
        <f>I59+R59</f>
        <v>0</v>
      </c>
      <c r="U59" s="91">
        <f t="shared" si="3"/>
        <v>0</v>
      </c>
      <c r="V59" s="76">
        <f t="shared" si="2"/>
        <v>0</v>
      </c>
      <c r="W59" s="73">
        <f t="shared" si="32"/>
        <v>0</v>
      </c>
      <c r="X59" s="73">
        <f t="shared" si="32"/>
        <v>0</v>
      </c>
    </row>
    <row r="60" spans="1:24" ht="22.5" x14ac:dyDescent="0.2">
      <c r="A60" s="61">
        <v>5443</v>
      </c>
      <c r="B60" s="216" t="s">
        <v>83</v>
      </c>
      <c r="C60" s="63">
        <v>0</v>
      </c>
      <c r="D60" s="63">
        <v>0</v>
      </c>
      <c r="E60" s="63">
        <v>0</v>
      </c>
      <c r="F60" s="63">
        <v>0</v>
      </c>
      <c r="G60" s="142">
        <v>0</v>
      </c>
      <c r="H60" s="66">
        <f t="shared" si="34"/>
        <v>0</v>
      </c>
      <c r="I60" s="76">
        <v>0</v>
      </c>
      <c r="J60" s="68">
        <v>0</v>
      </c>
      <c r="K60" s="69">
        <v>0</v>
      </c>
      <c r="L60" s="69">
        <v>0</v>
      </c>
      <c r="M60" s="69">
        <v>0</v>
      </c>
      <c r="N60" s="69">
        <v>0</v>
      </c>
      <c r="O60" s="192">
        <v>0</v>
      </c>
      <c r="P60" s="71">
        <f t="shared" si="29"/>
        <v>0</v>
      </c>
      <c r="Q60" s="96">
        <f>I60</f>
        <v>0</v>
      </c>
      <c r="R60" s="72">
        <f t="shared" si="30"/>
        <v>0</v>
      </c>
      <c r="S60" s="73">
        <v>0</v>
      </c>
      <c r="T60" s="74">
        <v>870000</v>
      </c>
      <c r="U60" s="91">
        <f t="shared" si="3"/>
        <v>0</v>
      </c>
      <c r="V60" s="76">
        <f t="shared" si="2"/>
        <v>0</v>
      </c>
      <c r="W60" s="73">
        <f t="shared" si="32"/>
        <v>0</v>
      </c>
      <c r="X60" s="73">
        <f t="shared" si="32"/>
        <v>115468.84332072466</v>
      </c>
    </row>
    <row r="61" spans="1:24" x14ac:dyDescent="0.2">
      <c r="A61" s="61">
        <v>3423</v>
      </c>
      <c r="B61" s="216" t="s">
        <v>75</v>
      </c>
      <c r="C61" s="63">
        <v>0</v>
      </c>
      <c r="D61" s="63">
        <v>0</v>
      </c>
      <c r="E61" s="63">
        <v>0</v>
      </c>
      <c r="F61" s="63">
        <v>0</v>
      </c>
      <c r="G61" s="142">
        <v>0</v>
      </c>
      <c r="H61" s="66">
        <f t="shared" si="34"/>
        <v>0</v>
      </c>
      <c r="I61" s="76">
        <v>0</v>
      </c>
      <c r="J61" s="68">
        <v>0</v>
      </c>
      <c r="K61" s="69">
        <v>0</v>
      </c>
      <c r="L61" s="69">
        <v>0</v>
      </c>
      <c r="M61" s="69">
        <v>0</v>
      </c>
      <c r="N61" s="69">
        <v>0</v>
      </c>
      <c r="O61" s="192">
        <v>0</v>
      </c>
      <c r="P61" s="71">
        <f t="shared" si="29"/>
        <v>0</v>
      </c>
      <c r="Q61" s="96">
        <f>I61</f>
        <v>0</v>
      </c>
      <c r="R61" s="72">
        <f t="shared" si="30"/>
        <v>0</v>
      </c>
      <c r="S61" s="73">
        <v>114200</v>
      </c>
      <c r="T61" s="74">
        <v>113850</v>
      </c>
      <c r="U61" s="91">
        <f t="shared" si="3"/>
        <v>0</v>
      </c>
      <c r="V61" s="76">
        <f t="shared" si="2"/>
        <v>0</v>
      </c>
      <c r="W61" s="73">
        <f t="shared" si="32"/>
        <v>15156.944720950294</v>
      </c>
      <c r="X61" s="73">
        <f t="shared" si="32"/>
        <v>15110.491738005176</v>
      </c>
    </row>
    <row r="62" spans="1:24" ht="22.5" x14ac:dyDescent="0.2">
      <c r="A62" s="61">
        <v>4263</v>
      </c>
      <c r="B62" s="216" t="s">
        <v>84</v>
      </c>
      <c r="C62" s="63">
        <v>0</v>
      </c>
      <c r="D62" s="63">
        <v>24375</v>
      </c>
      <c r="E62" s="63">
        <v>430799.76</v>
      </c>
      <c r="F62" s="63">
        <v>7938.4</v>
      </c>
      <c r="G62" s="142">
        <v>25000</v>
      </c>
      <c r="H62" s="66">
        <f t="shared" si="34"/>
        <v>3318.0702103656513</v>
      </c>
      <c r="I62" s="76">
        <v>25000</v>
      </c>
      <c r="J62" s="145">
        <v>0</v>
      </c>
      <c r="K62" s="73">
        <f>I62*0.57</f>
        <v>14249.999999999998</v>
      </c>
      <c r="L62" s="73">
        <f>I62*0.23</f>
        <v>5750</v>
      </c>
      <c r="M62" s="73">
        <f>I62*0.14</f>
        <v>3500.0000000000005</v>
      </c>
      <c r="N62" s="73">
        <f>I62*0.06</f>
        <v>1500</v>
      </c>
      <c r="O62" s="217">
        <f>L62+M62+N62</f>
        <v>10750</v>
      </c>
      <c r="P62" s="71">
        <f>I62-J62-Q62</f>
        <v>25000</v>
      </c>
      <c r="Q62" s="96">
        <v>0</v>
      </c>
      <c r="R62" s="72">
        <f t="shared" si="30"/>
        <v>0</v>
      </c>
      <c r="S62" s="110">
        <v>0</v>
      </c>
      <c r="T62" s="74">
        <v>0</v>
      </c>
      <c r="U62" s="91">
        <f t="shared" si="3"/>
        <v>3318.0702103656513</v>
      </c>
      <c r="V62" s="76">
        <f>U62</f>
        <v>3318.0702103656513</v>
      </c>
      <c r="W62" s="73">
        <f t="shared" si="32"/>
        <v>0</v>
      </c>
      <c r="X62" s="73">
        <f t="shared" si="32"/>
        <v>0</v>
      </c>
    </row>
    <row r="63" spans="1:24" ht="12" thickBot="1" x14ac:dyDescent="0.25">
      <c r="A63" s="218">
        <v>4</v>
      </c>
      <c r="B63" s="219" t="s">
        <v>85</v>
      </c>
      <c r="C63" s="202">
        <f t="shared" ref="C63:Q63" si="35">C57+C58+C59+C60+C61+C62</f>
        <v>0</v>
      </c>
      <c r="D63" s="202">
        <f t="shared" si="35"/>
        <v>24375</v>
      </c>
      <c r="E63" s="202">
        <f t="shared" si="35"/>
        <v>430799.76</v>
      </c>
      <c r="F63" s="202">
        <f t="shared" si="35"/>
        <v>7938.4</v>
      </c>
      <c r="G63" s="203">
        <f t="shared" si="35"/>
        <v>5025000</v>
      </c>
      <c r="H63" s="204">
        <f t="shared" si="35"/>
        <v>666932.11228349595</v>
      </c>
      <c r="I63" s="205">
        <f t="shared" si="35"/>
        <v>5025000</v>
      </c>
      <c r="J63" s="206">
        <f t="shared" si="35"/>
        <v>0</v>
      </c>
      <c r="K63" s="207">
        <f t="shared" si="35"/>
        <v>14249.999999999998</v>
      </c>
      <c r="L63" s="207">
        <f t="shared" si="35"/>
        <v>5750</v>
      </c>
      <c r="M63" s="207">
        <f t="shared" si="35"/>
        <v>3500.0000000000005</v>
      </c>
      <c r="N63" s="207">
        <f t="shared" si="35"/>
        <v>1500</v>
      </c>
      <c r="O63" s="220">
        <f t="shared" si="35"/>
        <v>10750</v>
      </c>
      <c r="P63" s="209">
        <f t="shared" si="35"/>
        <v>25000</v>
      </c>
      <c r="Q63" s="221">
        <f t="shared" si="35"/>
        <v>5000000</v>
      </c>
      <c r="R63" s="211">
        <f>R57+R58+R59+R60+R61+R62</f>
        <v>0</v>
      </c>
      <c r="S63" s="212">
        <f>S57+S58+S59+S60+S61+S62</f>
        <v>29114200</v>
      </c>
      <c r="T63" s="213">
        <f>T57+T58+T59+T60+T61+T62</f>
        <v>24983850</v>
      </c>
      <c r="U63" s="91">
        <f>I63/$U$9</f>
        <v>666932.11228349584</v>
      </c>
      <c r="V63" s="205">
        <f>V57+V58+V59+V60+V61+V62</f>
        <v>666932.11228349595</v>
      </c>
      <c r="W63" s="207">
        <f>W57+W58+W59+W60+W61+W62</f>
        <v>3864118.3887451058</v>
      </c>
      <c r="X63" s="207">
        <f>X57+X58+X59+X60+X61+X62</f>
        <v>3315926.7370097549</v>
      </c>
    </row>
    <row r="64" spans="1:24" ht="12" thickBot="1" x14ac:dyDescent="0.25">
      <c r="A64" s="222" t="s">
        <v>78</v>
      </c>
      <c r="B64" s="223" t="s">
        <v>86</v>
      </c>
      <c r="C64" s="224">
        <f t="shared" ref="C64:I64" si="36">C56+C63</f>
        <v>1497761.98</v>
      </c>
      <c r="D64" s="224">
        <f t="shared" si="36"/>
        <v>351165.9</v>
      </c>
      <c r="E64" s="224">
        <f t="shared" si="36"/>
        <v>692267.66999999993</v>
      </c>
      <c r="F64" s="224">
        <f t="shared" si="36"/>
        <v>356703.26</v>
      </c>
      <c r="G64" s="225">
        <f t="shared" si="36"/>
        <v>5425500</v>
      </c>
      <c r="H64" s="226">
        <f t="shared" si="36"/>
        <v>720087.59705355368</v>
      </c>
      <c r="I64" s="227">
        <f t="shared" si="36"/>
        <v>5435000</v>
      </c>
      <c r="J64" s="228">
        <v>0</v>
      </c>
      <c r="K64" s="229">
        <f t="shared" ref="K64:Q64" si="37">K56+K63</f>
        <v>230850</v>
      </c>
      <c r="L64" s="229">
        <f t="shared" si="37"/>
        <v>93150</v>
      </c>
      <c r="M64" s="229">
        <f t="shared" si="37"/>
        <v>56700</v>
      </c>
      <c r="N64" s="229">
        <f t="shared" si="37"/>
        <v>24300</v>
      </c>
      <c r="O64" s="230">
        <f t="shared" si="37"/>
        <v>174150</v>
      </c>
      <c r="P64" s="231">
        <f t="shared" si="37"/>
        <v>405000</v>
      </c>
      <c r="Q64" s="232">
        <f t="shared" si="37"/>
        <v>5030000</v>
      </c>
      <c r="R64" s="233">
        <f>R56+R63</f>
        <v>9500</v>
      </c>
      <c r="S64" s="229">
        <f>S56+S63</f>
        <v>31289200</v>
      </c>
      <c r="T64" s="234">
        <f>T56+T63</f>
        <v>25335350</v>
      </c>
      <c r="U64" s="177">
        <f t="shared" si="3"/>
        <v>721348.46373349254</v>
      </c>
      <c r="V64" s="169">
        <f>V56+V63</f>
        <v>721348.46373349265</v>
      </c>
      <c r="W64" s="171">
        <f>W56+W63</f>
        <v>4152790.4970469177</v>
      </c>
      <c r="X64" s="171">
        <f>X56+X63</f>
        <v>3362579.804167496</v>
      </c>
    </row>
    <row r="65" spans="1:24" ht="14.25" customHeight="1" thickBot="1" x14ac:dyDescent="0.25">
      <c r="A65" s="235"/>
      <c r="B65" s="165" t="s">
        <v>87</v>
      </c>
      <c r="C65" s="236">
        <f t="shared" ref="C65:I65" si="38">C45+C64</f>
        <v>9323435.5999999996</v>
      </c>
      <c r="D65" s="236">
        <f t="shared" si="38"/>
        <v>8266027.6800000006</v>
      </c>
      <c r="E65" s="236">
        <f t="shared" si="38"/>
        <v>7895667.3799999999</v>
      </c>
      <c r="F65" s="236">
        <f t="shared" si="38"/>
        <v>7679191.9799999995</v>
      </c>
      <c r="G65" s="237">
        <f t="shared" si="38"/>
        <v>14253500</v>
      </c>
      <c r="H65" s="238">
        <f t="shared" si="38"/>
        <v>1891764.5497378726</v>
      </c>
      <c r="I65" s="239">
        <f t="shared" si="38"/>
        <v>15290000</v>
      </c>
      <c r="J65" s="170">
        <f>J45+J56+J57</f>
        <v>4212501</v>
      </c>
      <c r="K65" s="171">
        <f t="shared" ref="K65:X65" si="39">K45+K64</f>
        <v>3445934.4299999997</v>
      </c>
      <c r="L65" s="171">
        <f t="shared" si="39"/>
        <v>1390464.77</v>
      </c>
      <c r="M65" s="171">
        <f t="shared" si="39"/>
        <v>846369.8600000001</v>
      </c>
      <c r="N65" s="171">
        <f t="shared" si="39"/>
        <v>362729.94</v>
      </c>
      <c r="O65" s="240">
        <f t="shared" si="39"/>
        <v>2599564.5700000003</v>
      </c>
      <c r="P65" s="173">
        <f>P45+P64</f>
        <v>6045499</v>
      </c>
      <c r="Q65" s="241">
        <f t="shared" si="39"/>
        <v>5032000</v>
      </c>
      <c r="R65" s="242">
        <f>R45+R64</f>
        <v>1036500</v>
      </c>
      <c r="S65" s="171">
        <f>S45+S64</f>
        <v>41727367</v>
      </c>
      <c r="T65" s="243">
        <f>T45+T64</f>
        <v>35510915</v>
      </c>
      <c r="U65" s="177">
        <f t="shared" si="3"/>
        <v>2029331.7406596323</v>
      </c>
      <c r="V65" s="169">
        <f t="shared" si="39"/>
        <v>2029331.9861968278</v>
      </c>
      <c r="W65" s="171">
        <f t="shared" si="39"/>
        <v>5538172.3359877896</v>
      </c>
      <c r="X65" s="171">
        <f t="shared" si="39"/>
        <v>4713108.3681730703</v>
      </c>
    </row>
    <row r="66" spans="1:24" ht="12.2" customHeight="1" thickBot="1" x14ac:dyDescent="0.25">
      <c r="A66" s="244">
        <v>9221</v>
      </c>
      <c r="B66" s="245" t="s">
        <v>88</v>
      </c>
      <c r="C66" s="246">
        <v>11328</v>
      </c>
      <c r="D66" s="247">
        <v>35429</v>
      </c>
      <c r="E66" s="246">
        <v>0</v>
      </c>
      <c r="F66" s="246">
        <v>0</v>
      </c>
      <c r="G66" s="248">
        <v>18498</v>
      </c>
      <c r="H66" s="249">
        <v>18498</v>
      </c>
      <c r="I66" s="250">
        <v>0</v>
      </c>
      <c r="J66" s="251">
        <v>0</v>
      </c>
      <c r="K66" s="252">
        <v>0</v>
      </c>
      <c r="L66" s="252">
        <v>0</v>
      </c>
      <c r="M66" s="252">
        <v>0</v>
      </c>
      <c r="N66" s="252">
        <v>0</v>
      </c>
      <c r="O66" s="253">
        <f>L66+M66+N66</f>
        <v>0</v>
      </c>
      <c r="P66" s="254">
        <v>0</v>
      </c>
      <c r="Q66" s="255">
        <v>0</v>
      </c>
      <c r="R66" s="256">
        <v>0</v>
      </c>
      <c r="S66" s="257">
        <v>0</v>
      </c>
      <c r="T66" s="258">
        <v>0</v>
      </c>
      <c r="U66" s="259">
        <f t="shared" si="3"/>
        <v>0</v>
      </c>
      <c r="V66" s="260">
        <f t="shared" si="2"/>
        <v>0</v>
      </c>
      <c r="W66" s="257">
        <v>0</v>
      </c>
      <c r="X66" s="257">
        <v>0</v>
      </c>
    </row>
    <row r="67" spans="1:24" ht="14.25" customHeight="1" thickBot="1" x14ac:dyDescent="0.25">
      <c r="A67" s="235"/>
      <c r="B67" s="165" t="s">
        <v>87</v>
      </c>
      <c r="C67" s="166">
        <f t="shared" ref="C67:X67" si="40">C65+C66</f>
        <v>9334763.5999999996</v>
      </c>
      <c r="D67" s="166">
        <f t="shared" si="40"/>
        <v>8301456.6800000006</v>
      </c>
      <c r="E67" s="166">
        <f t="shared" si="40"/>
        <v>7895667.3799999999</v>
      </c>
      <c r="F67" s="166">
        <f t="shared" si="40"/>
        <v>7679191.9799999995</v>
      </c>
      <c r="G67" s="167">
        <f>G65+G66</f>
        <v>14271998</v>
      </c>
      <c r="H67" s="168">
        <f>H65+H66</f>
        <v>1910262.5497378726</v>
      </c>
      <c r="I67" s="169">
        <f t="shared" si="40"/>
        <v>15290000</v>
      </c>
      <c r="J67" s="170">
        <f t="shared" si="40"/>
        <v>4212501</v>
      </c>
      <c r="K67" s="171">
        <f t="shared" si="40"/>
        <v>3445934.4299999997</v>
      </c>
      <c r="L67" s="171">
        <f t="shared" si="40"/>
        <v>1390464.77</v>
      </c>
      <c r="M67" s="171">
        <f t="shared" si="40"/>
        <v>846369.8600000001</v>
      </c>
      <c r="N67" s="171">
        <f t="shared" si="40"/>
        <v>362729.94</v>
      </c>
      <c r="O67" s="172">
        <f>O65+O66+1</f>
        <v>2599565.5700000003</v>
      </c>
      <c r="P67" s="173">
        <f t="shared" si="40"/>
        <v>6045499</v>
      </c>
      <c r="Q67" s="241">
        <f t="shared" si="40"/>
        <v>5032000</v>
      </c>
      <c r="R67" s="242">
        <f t="shared" si="40"/>
        <v>1036500</v>
      </c>
      <c r="S67" s="171">
        <f t="shared" si="40"/>
        <v>41727367</v>
      </c>
      <c r="T67" s="243">
        <f t="shared" si="40"/>
        <v>35510915</v>
      </c>
      <c r="U67" s="177">
        <f t="shared" si="3"/>
        <v>2029331.7406596323</v>
      </c>
      <c r="V67" s="169">
        <f t="shared" si="40"/>
        <v>2029331.9861968278</v>
      </c>
      <c r="W67" s="171">
        <f t="shared" si="40"/>
        <v>5538172.3359877896</v>
      </c>
      <c r="X67" s="171">
        <f t="shared" si="40"/>
        <v>4713108.3681730703</v>
      </c>
    </row>
    <row r="68" spans="1:24" x14ac:dyDescent="0.2">
      <c r="C68" s="13"/>
      <c r="I68" s="13"/>
      <c r="J68" s="3"/>
      <c r="K68" s="3"/>
      <c r="L68" s="6"/>
      <c r="M68" s="6"/>
      <c r="N68" s="6"/>
    </row>
    <row r="69" spans="1:24" x14ac:dyDescent="0.2">
      <c r="C69" s="261"/>
      <c r="I69" s="13"/>
      <c r="J69" s="3"/>
      <c r="K69" s="3"/>
      <c r="L69" s="6"/>
      <c r="M69" s="6"/>
      <c r="N69" s="6"/>
      <c r="R69" s="2"/>
      <c r="T69" s="2"/>
      <c r="X69" s="2"/>
    </row>
    <row r="70" spans="1:24" x14ac:dyDescent="0.2">
      <c r="C70" s="3"/>
      <c r="I70" s="262"/>
      <c r="J70" s="263"/>
      <c r="K70" s="264"/>
      <c r="L70" s="6"/>
      <c r="M70" s="6"/>
      <c r="N70" s="6"/>
      <c r="T70" s="2"/>
      <c r="X70" s="2"/>
    </row>
    <row r="71" spans="1:24" x14ac:dyDescent="0.2">
      <c r="B71" s="265" t="s">
        <v>89</v>
      </c>
      <c r="C71" s="3"/>
      <c r="I71" s="266" t="s">
        <v>90</v>
      </c>
      <c r="J71" s="267" t="s">
        <v>91</v>
      </c>
      <c r="K71" s="267"/>
      <c r="L71" s="268"/>
      <c r="M71" s="268" t="s">
        <v>92</v>
      </c>
      <c r="N71" s="268" t="s">
        <v>93</v>
      </c>
      <c r="O71" s="268"/>
      <c r="P71" s="269" t="s">
        <v>94</v>
      </c>
      <c r="R71" s="270" t="s">
        <v>95</v>
      </c>
      <c r="S71" s="271" t="s">
        <v>96</v>
      </c>
      <c r="T71" s="272" t="s">
        <v>97</v>
      </c>
      <c r="X71" s="2"/>
    </row>
    <row r="72" spans="1:24" x14ac:dyDescent="0.2">
      <c r="B72" s="1" t="s">
        <v>98</v>
      </c>
      <c r="C72" s="3"/>
      <c r="D72" s="263"/>
      <c r="I72" s="5"/>
      <c r="J72" s="6">
        <f>J67*0.57</f>
        <v>2401125.5699999998</v>
      </c>
      <c r="K72" s="2"/>
      <c r="M72" s="2">
        <f>K45</f>
        <v>3215084.4299999997</v>
      </c>
      <c r="N72" s="2">
        <f>K64</f>
        <v>230850</v>
      </c>
      <c r="O72" s="7"/>
      <c r="P72" s="7">
        <f>M72+N72</f>
        <v>3445934.4299999997</v>
      </c>
      <c r="R72" s="6">
        <f t="shared" ref="R72:R77" si="41">J72+P72</f>
        <v>5847060</v>
      </c>
      <c r="T72" s="2"/>
      <c r="X72" s="2"/>
    </row>
    <row r="73" spans="1:24" x14ac:dyDescent="0.2">
      <c r="B73" s="1" t="s">
        <v>99</v>
      </c>
      <c r="C73" s="5"/>
      <c r="D73" s="263"/>
      <c r="I73" s="5"/>
      <c r="J73" s="6">
        <f>J67*0.23</f>
        <v>968875.2300000001</v>
      </c>
      <c r="K73" s="2"/>
      <c r="M73" s="2">
        <f>L45</f>
        <v>1297314.77</v>
      </c>
      <c r="N73" s="2">
        <f>L64</f>
        <v>93150</v>
      </c>
      <c r="O73" s="7"/>
      <c r="P73" s="7">
        <f>M73+N73</f>
        <v>1390464.77</v>
      </c>
      <c r="R73" s="6">
        <f t="shared" si="41"/>
        <v>2359340</v>
      </c>
    </row>
    <row r="74" spans="1:24" x14ac:dyDescent="0.2">
      <c r="B74" s="1" t="s">
        <v>100</v>
      </c>
      <c r="C74" s="5"/>
      <c r="D74" s="263"/>
      <c r="I74" s="5"/>
      <c r="J74" s="6">
        <f>J67*0.14</f>
        <v>589750.14</v>
      </c>
      <c r="K74" s="2"/>
      <c r="M74" s="2">
        <f>M45</f>
        <v>789669.8600000001</v>
      </c>
      <c r="N74" s="2">
        <f>M64</f>
        <v>56700</v>
      </c>
      <c r="O74" s="7"/>
      <c r="P74" s="7">
        <f>M74+N74</f>
        <v>846369.8600000001</v>
      </c>
      <c r="R74" s="6">
        <f t="shared" si="41"/>
        <v>1436120</v>
      </c>
    </row>
    <row r="75" spans="1:24" x14ac:dyDescent="0.2">
      <c r="B75" s="1" t="s">
        <v>101</v>
      </c>
      <c r="C75" s="5"/>
      <c r="D75" s="263"/>
      <c r="I75" s="5"/>
      <c r="J75" s="6">
        <f>J67*0.06</f>
        <v>252750.06</v>
      </c>
      <c r="K75" s="2"/>
      <c r="M75" s="2">
        <f>N45</f>
        <v>338429.94</v>
      </c>
      <c r="N75" s="2">
        <f>N64</f>
        <v>24300</v>
      </c>
      <c r="O75" s="7"/>
      <c r="P75" s="7">
        <f>M75+N75</f>
        <v>362729.94</v>
      </c>
      <c r="R75" s="6">
        <f t="shared" si="41"/>
        <v>615480</v>
      </c>
    </row>
    <row r="76" spans="1:24" x14ac:dyDescent="0.2">
      <c r="B76" s="273" t="s">
        <v>102</v>
      </c>
      <c r="C76" s="5"/>
      <c r="D76" s="274"/>
      <c r="E76" s="275"/>
      <c r="F76" s="268"/>
      <c r="G76" s="268"/>
      <c r="H76" s="268"/>
      <c r="I76" s="276"/>
      <c r="J76" s="270">
        <f>SUM(J72:J75)</f>
        <v>4212501</v>
      </c>
      <c r="K76" s="268"/>
      <c r="L76" s="268"/>
      <c r="M76" s="268">
        <f>SUM(M72:M75)</f>
        <v>5640499</v>
      </c>
      <c r="N76" s="268">
        <f>SUM(N72:N75)</f>
        <v>405000</v>
      </c>
      <c r="O76" s="277"/>
      <c r="P76" s="277">
        <f>SUM(P72:P75)</f>
        <v>6045499</v>
      </c>
      <c r="R76" s="270">
        <f t="shared" si="41"/>
        <v>10258000</v>
      </c>
      <c r="S76" s="13">
        <f>Q65</f>
        <v>5032000</v>
      </c>
      <c r="T76" s="268">
        <f>R76+S76</f>
        <v>15290000</v>
      </c>
    </row>
    <row r="77" spans="1:24" x14ac:dyDescent="0.2">
      <c r="B77" s="1" t="s">
        <v>103</v>
      </c>
      <c r="C77" s="276"/>
      <c r="D77" s="263"/>
      <c r="I77" s="5"/>
      <c r="J77" s="6">
        <f>J73+J74+J75</f>
        <v>1811375.4300000002</v>
      </c>
      <c r="K77" s="2"/>
      <c r="M77" s="2">
        <f>M76-M72</f>
        <v>2425414.5700000003</v>
      </c>
      <c r="N77" s="2">
        <f>N76-N72</f>
        <v>174150</v>
      </c>
      <c r="O77" s="7"/>
      <c r="P77" s="7">
        <f>P76-P72+1</f>
        <v>2599565.5700000003</v>
      </c>
      <c r="R77" s="6">
        <f t="shared" si="41"/>
        <v>4410941</v>
      </c>
      <c r="T77" s="273"/>
    </row>
    <row r="78" spans="1:24" x14ac:dyDescent="0.2">
      <c r="C78" s="5"/>
      <c r="T78" s="273"/>
    </row>
    <row r="79" spans="1:24" x14ac:dyDescent="0.2">
      <c r="B79" s="278" t="s">
        <v>104</v>
      </c>
      <c r="C79" s="278"/>
      <c r="D79" s="279"/>
      <c r="E79" s="279"/>
      <c r="F79" s="280"/>
      <c r="G79" s="281"/>
      <c r="H79" s="281"/>
      <c r="I79" s="282" t="s">
        <v>7</v>
      </c>
      <c r="T79" s="273"/>
    </row>
    <row r="80" spans="1:24" x14ac:dyDescent="0.2">
      <c r="B80" s="283" t="s">
        <v>105</v>
      </c>
      <c r="C80" s="283"/>
      <c r="D80" s="284"/>
      <c r="E80" s="279"/>
      <c r="F80" s="283" t="s">
        <v>106</v>
      </c>
      <c r="G80" s="284">
        <v>10000</v>
      </c>
      <c r="H80" s="279"/>
      <c r="I80" s="1">
        <v>7.5345000000000004</v>
      </c>
      <c r="J80" s="6">
        <f>J72/I$80</f>
        <v>318684.12900656974</v>
      </c>
      <c r="M80" s="2">
        <f>M72/$I$80</f>
        <v>426715.03483973717</v>
      </c>
      <c r="N80" s="2">
        <f>N72/$I$80</f>
        <v>30639.060322516423</v>
      </c>
      <c r="P80" s="7">
        <f>M80+N80</f>
        <v>457354.09516225359</v>
      </c>
      <c r="R80" s="6">
        <f t="shared" ref="R80:R85" si="42">J80+P80</f>
        <v>776038.22416882333</v>
      </c>
      <c r="T80" s="273"/>
    </row>
    <row r="81" spans="2:20" x14ac:dyDescent="0.2">
      <c r="B81" s="283" t="s">
        <v>107</v>
      </c>
      <c r="C81" s="283"/>
      <c r="D81" s="284"/>
      <c r="E81" s="279"/>
      <c r="F81" s="283" t="s">
        <v>108</v>
      </c>
      <c r="G81" s="284">
        <v>10000</v>
      </c>
      <c r="H81" s="279"/>
      <c r="J81" s="6">
        <f>J73/I$80</f>
        <v>128591.84152896676</v>
      </c>
      <c r="M81" s="2">
        <f t="shared" ref="M81:N83" si="43">M73/$I$80</f>
        <v>172183.25967217467</v>
      </c>
      <c r="N81" s="2">
        <f t="shared" si="43"/>
        <v>12363.129603822415</v>
      </c>
      <c r="P81" s="7">
        <f>M81+N81</f>
        <v>184546.38927599709</v>
      </c>
      <c r="R81" s="6">
        <f t="shared" si="42"/>
        <v>313138.23080496385</v>
      </c>
      <c r="T81" s="273"/>
    </row>
    <row r="82" spans="2:20" x14ac:dyDescent="0.2">
      <c r="B82" s="283" t="s">
        <v>109</v>
      </c>
      <c r="C82" s="283"/>
      <c r="D82" s="284"/>
      <c r="E82" s="279"/>
      <c r="F82" s="283" t="s">
        <v>108</v>
      </c>
      <c r="G82" s="284">
        <v>5000</v>
      </c>
      <c r="H82" s="279"/>
      <c r="J82" s="6">
        <f>J74/I$80</f>
        <v>78273.29484371889</v>
      </c>
      <c r="M82" s="2">
        <f t="shared" si="43"/>
        <v>104807.20153958458</v>
      </c>
      <c r="N82" s="2">
        <f t="shared" si="43"/>
        <v>7525.3832371092967</v>
      </c>
      <c r="P82" s="7">
        <f>M82+N82</f>
        <v>112332.58477669388</v>
      </c>
      <c r="R82" s="6">
        <f t="shared" si="42"/>
        <v>190605.87962041277</v>
      </c>
      <c r="T82" s="273"/>
    </row>
    <row r="83" spans="2:20" x14ac:dyDescent="0.2">
      <c r="B83" s="283"/>
      <c r="C83" s="283"/>
      <c r="D83" s="279"/>
      <c r="E83" s="279"/>
      <c r="F83" s="283"/>
      <c r="G83" s="279">
        <f>SUM(G80:G82)</f>
        <v>25000</v>
      </c>
      <c r="H83" s="279"/>
      <c r="J83" s="6">
        <f>J75/I$80</f>
        <v>33545.697790165235</v>
      </c>
      <c r="M83" s="2">
        <f t="shared" si="43"/>
        <v>44917.372088393386</v>
      </c>
      <c r="N83" s="2">
        <f t="shared" si="43"/>
        <v>3225.1642444754129</v>
      </c>
      <c r="P83" s="7">
        <f>M83+N83</f>
        <v>48142.536332868796</v>
      </c>
      <c r="R83" s="6">
        <f t="shared" si="42"/>
        <v>81688.234123034024</v>
      </c>
      <c r="T83" s="273"/>
    </row>
    <row r="84" spans="2:20" x14ac:dyDescent="0.2">
      <c r="B84" s="283"/>
      <c r="C84" s="283"/>
      <c r="D84" s="279"/>
      <c r="E84" s="279"/>
      <c r="F84" s="283"/>
      <c r="G84" s="279"/>
      <c r="H84" s="279"/>
      <c r="J84" s="270">
        <f>SUM(J80:J83)</f>
        <v>559094.9631694206</v>
      </c>
      <c r="M84" s="268">
        <f>SUM(M80:M83)</f>
        <v>748622.86813988979</v>
      </c>
      <c r="N84" s="268">
        <f>SUM(N80:N83)</f>
        <v>53752.737407923545</v>
      </c>
      <c r="P84" s="277">
        <f>SUM(P80:P83)</f>
        <v>802375.60554781323</v>
      </c>
      <c r="R84" s="6">
        <f t="shared" si="42"/>
        <v>1361470.5687172338</v>
      </c>
      <c r="S84" s="13">
        <f>S76/$I$80</f>
        <v>667861.1719423983</v>
      </c>
      <c r="T84" s="268">
        <f>R84+S84</f>
        <v>2029331.7406596323</v>
      </c>
    </row>
    <row r="85" spans="2:20" x14ac:dyDescent="0.2">
      <c r="B85" s="278" t="s">
        <v>110</v>
      </c>
      <c r="C85" s="283"/>
      <c r="D85" s="279"/>
      <c r="E85" s="279"/>
      <c r="F85" s="283"/>
      <c r="G85" s="279"/>
      <c r="H85" s="279"/>
      <c r="J85" s="6">
        <f>J81+J82+J83</f>
        <v>240410.83416285089</v>
      </c>
      <c r="M85" s="2">
        <f>M84-M80</f>
        <v>321907.83330015262</v>
      </c>
      <c r="N85" s="2">
        <f>N84-N80</f>
        <v>23113.677085407122</v>
      </c>
      <c r="P85" s="7">
        <f>P84-P80+1</f>
        <v>345022.51038555964</v>
      </c>
      <c r="R85" s="6">
        <f t="shared" si="42"/>
        <v>585433.3445484105</v>
      </c>
    </row>
    <row r="86" spans="2:20" x14ac:dyDescent="0.2">
      <c r="B86" s="283" t="s">
        <v>111</v>
      </c>
      <c r="C86" s="283"/>
      <c r="D86" s="284"/>
      <c r="E86" s="279"/>
      <c r="F86" s="283" t="s">
        <v>108</v>
      </c>
      <c r="G86" s="284">
        <v>15000</v>
      </c>
      <c r="H86" s="279"/>
      <c r="I86" s="286"/>
      <c r="J86" s="6"/>
      <c r="K86" s="287"/>
    </row>
    <row r="87" spans="2:20" x14ac:dyDescent="0.2">
      <c r="B87" s="283"/>
      <c r="C87" s="283"/>
      <c r="D87" s="279"/>
      <c r="E87" s="279"/>
      <c r="F87" s="283"/>
      <c r="G87" s="279">
        <f>SUM(G86:G86)</f>
        <v>15000</v>
      </c>
      <c r="H87" s="279"/>
      <c r="I87" s="286"/>
      <c r="J87" s="287"/>
      <c r="K87" s="287"/>
    </row>
    <row r="88" spans="2:20" x14ac:dyDescent="0.2">
      <c r="B88" s="278" t="s">
        <v>112</v>
      </c>
      <c r="C88" s="278"/>
      <c r="D88" s="288"/>
      <c r="E88" s="279"/>
      <c r="F88" s="278"/>
      <c r="G88" s="288"/>
      <c r="H88" s="279"/>
    </row>
    <row r="89" spans="2:20" ht="22.5" x14ac:dyDescent="0.2">
      <c r="B89" s="289" t="s">
        <v>113</v>
      </c>
      <c r="C89" s="289"/>
      <c r="D89" s="290"/>
      <c r="E89" s="284"/>
      <c r="F89" s="289" t="s">
        <v>114</v>
      </c>
      <c r="G89" s="290">
        <v>15000</v>
      </c>
      <c r="H89" s="284"/>
      <c r="I89" s="291"/>
      <c r="P89" s="1"/>
      <c r="Q89" s="1"/>
    </row>
    <row r="90" spans="2:20" x14ac:dyDescent="0.2">
      <c r="B90" s="289" t="s">
        <v>115</v>
      </c>
      <c r="C90" s="289"/>
      <c r="D90" s="290"/>
      <c r="E90" s="284"/>
      <c r="F90" s="289" t="s">
        <v>116</v>
      </c>
      <c r="G90" s="290">
        <v>2000</v>
      </c>
      <c r="H90" s="284"/>
      <c r="J90" s="2"/>
      <c r="K90" s="2"/>
      <c r="P90" s="1"/>
      <c r="Q90" s="1"/>
    </row>
    <row r="91" spans="2:20" x14ac:dyDescent="0.2">
      <c r="B91" s="289" t="s">
        <v>117</v>
      </c>
      <c r="C91" s="289"/>
      <c r="D91" s="290"/>
      <c r="E91" s="284"/>
      <c r="F91" s="289" t="s">
        <v>118</v>
      </c>
      <c r="G91" s="290">
        <v>10000</v>
      </c>
      <c r="H91" s="284"/>
      <c r="J91" s="2"/>
      <c r="K91" s="2"/>
      <c r="Q91" s="1"/>
    </row>
    <row r="92" spans="2:20" x14ac:dyDescent="0.2">
      <c r="B92" s="289" t="s">
        <v>119</v>
      </c>
      <c r="C92" s="289"/>
      <c r="D92" s="290"/>
      <c r="E92" s="284"/>
      <c r="F92" s="289" t="s">
        <v>118</v>
      </c>
      <c r="G92" s="290">
        <v>10000</v>
      </c>
      <c r="H92" s="284"/>
      <c r="J92" s="2"/>
      <c r="K92" s="2"/>
      <c r="O92" s="292"/>
      <c r="P92" s="293"/>
      <c r="Q92" s="293"/>
    </row>
    <row r="93" spans="2:20" x14ac:dyDescent="0.2">
      <c r="B93" s="289" t="s">
        <v>120</v>
      </c>
      <c r="C93" s="289"/>
      <c r="D93" s="290"/>
      <c r="E93" s="284"/>
      <c r="F93" s="289" t="s">
        <v>106</v>
      </c>
      <c r="G93" s="290">
        <v>4000</v>
      </c>
      <c r="H93" s="284"/>
      <c r="J93" s="2"/>
      <c r="K93" s="2"/>
      <c r="O93" s="292"/>
      <c r="P93" s="294"/>
      <c r="Q93" s="293"/>
    </row>
    <row r="94" spans="2:20" x14ac:dyDescent="0.2">
      <c r="B94" s="295" t="s">
        <v>121</v>
      </c>
      <c r="C94" s="285"/>
      <c r="D94" s="284"/>
      <c r="E94" s="284"/>
      <c r="F94" s="285" t="s">
        <v>122</v>
      </c>
      <c r="G94" s="284">
        <v>20000</v>
      </c>
      <c r="H94" s="284"/>
      <c r="J94" s="2"/>
      <c r="K94" s="2"/>
      <c r="O94" s="292"/>
      <c r="P94" s="293"/>
      <c r="Q94" s="293"/>
    </row>
    <row r="95" spans="2:20" x14ac:dyDescent="0.2">
      <c r="B95" s="295" t="s">
        <v>123</v>
      </c>
      <c r="C95" s="285"/>
      <c r="D95" s="284"/>
      <c r="E95" s="284"/>
      <c r="F95" s="285" t="s">
        <v>114</v>
      </c>
      <c r="G95" s="284">
        <v>7500</v>
      </c>
      <c r="H95" s="284"/>
      <c r="J95" s="2"/>
      <c r="K95" s="2"/>
      <c r="P95" s="292"/>
      <c r="Q95" s="293"/>
    </row>
    <row r="96" spans="2:20" x14ac:dyDescent="0.2">
      <c r="B96" s="296" t="s">
        <v>124</v>
      </c>
      <c r="C96" s="296"/>
      <c r="D96" s="284"/>
      <c r="E96" s="284"/>
      <c r="F96" s="296" t="s">
        <v>125</v>
      </c>
      <c r="G96" s="284">
        <v>5000</v>
      </c>
      <c r="H96" s="284"/>
      <c r="J96" s="2"/>
      <c r="K96" s="2"/>
      <c r="P96" s="292"/>
      <c r="Q96" s="292"/>
    </row>
    <row r="97" spans="2:17" x14ac:dyDescent="0.2">
      <c r="B97" s="296" t="s">
        <v>126</v>
      </c>
      <c r="C97" s="296"/>
      <c r="D97" s="284"/>
      <c r="E97" s="284"/>
      <c r="F97" s="296" t="s">
        <v>127</v>
      </c>
      <c r="G97" s="284">
        <v>24000</v>
      </c>
      <c r="H97" s="284"/>
      <c r="J97" s="2"/>
      <c r="K97" s="2"/>
      <c r="P97" s="292"/>
      <c r="Q97" s="297"/>
    </row>
    <row r="98" spans="2:17" x14ac:dyDescent="0.2">
      <c r="B98" s="296" t="s">
        <v>128</v>
      </c>
      <c r="C98" s="296"/>
      <c r="D98" s="284"/>
      <c r="E98" s="284"/>
      <c r="F98" s="296" t="s">
        <v>108</v>
      </c>
      <c r="G98" s="284">
        <v>3000</v>
      </c>
      <c r="H98" s="284"/>
      <c r="J98" s="2"/>
      <c r="K98" s="2"/>
      <c r="P98" s="268"/>
    </row>
    <row r="99" spans="2:17" x14ac:dyDescent="0.2">
      <c r="B99" s="296" t="s">
        <v>129</v>
      </c>
      <c r="C99" s="296"/>
      <c r="D99" s="284"/>
      <c r="E99" s="284"/>
      <c r="F99" s="296" t="s">
        <v>114</v>
      </c>
      <c r="G99" s="284">
        <v>4500</v>
      </c>
      <c r="H99" s="284"/>
      <c r="J99" s="2"/>
      <c r="K99" s="2"/>
    </row>
    <row r="100" spans="2:17" x14ac:dyDescent="0.2">
      <c r="B100" s="296" t="s">
        <v>130</v>
      </c>
      <c r="C100" s="296"/>
      <c r="D100" s="284"/>
      <c r="E100" s="284"/>
      <c r="F100" s="296"/>
      <c r="G100" s="284">
        <v>10000</v>
      </c>
      <c r="H100" s="284"/>
      <c r="J100" s="2"/>
      <c r="K100" s="2"/>
    </row>
    <row r="101" spans="2:17" x14ac:dyDescent="0.2">
      <c r="B101" s="296"/>
      <c r="C101" s="296"/>
      <c r="D101" s="279"/>
      <c r="E101" s="284"/>
      <c r="F101" s="296"/>
      <c r="G101" s="279">
        <f>SUM(G88:G100)</f>
        <v>115000</v>
      </c>
      <c r="H101" s="284"/>
      <c r="K101" s="268"/>
    </row>
    <row r="102" spans="2:17" x14ac:dyDescent="0.2">
      <c r="B102" s="298"/>
      <c r="C102" s="298"/>
      <c r="D102" s="279"/>
      <c r="E102" s="279"/>
      <c r="F102" s="298"/>
      <c r="G102" s="279"/>
      <c r="H102" s="279"/>
    </row>
    <row r="103" spans="2:17" x14ac:dyDescent="0.2">
      <c r="B103" s="299" t="s">
        <v>72</v>
      </c>
      <c r="C103" s="298"/>
      <c r="D103" s="279"/>
      <c r="E103" s="279"/>
      <c r="F103" s="298"/>
      <c r="G103" s="279">
        <v>16000</v>
      </c>
      <c r="H103" s="279"/>
    </row>
    <row r="104" spans="2:17" x14ac:dyDescent="0.2">
      <c r="B104" s="299" t="s">
        <v>131</v>
      </c>
      <c r="C104" s="298"/>
      <c r="D104" s="279"/>
      <c r="E104" s="279"/>
      <c r="F104" s="298"/>
      <c r="G104" s="279">
        <v>24000</v>
      </c>
      <c r="H104" s="279"/>
    </row>
    <row r="105" spans="2:17" x14ac:dyDescent="0.2">
      <c r="C105" s="300"/>
      <c r="D105" s="301"/>
      <c r="F105" s="300"/>
      <c r="G105" s="301"/>
      <c r="H105" s="3"/>
    </row>
    <row r="106" spans="2:17" ht="9.75" customHeight="1" x14ac:dyDescent="0.2">
      <c r="B106" s="273" t="s">
        <v>132</v>
      </c>
      <c r="C106" s="300"/>
      <c r="D106" s="301"/>
      <c r="F106" s="300"/>
      <c r="G106" s="301">
        <f>G83+G87+G101+G103+G104</f>
        <v>195000</v>
      </c>
      <c r="H106" s="3"/>
    </row>
    <row r="107" spans="2:17" ht="12" x14ac:dyDescent="0.2">
      <c r="B107" s="302"/>
      <c r="C107" s="303"/>
      <c r="I107" s="304"/>
      <c r="J107" s="305"/>
      <c r="N107" s="302"/>
      <c r="O107" s="3"/>
      <c r="P107" s="3"/>
      <c r="Q107" s="3"/>
    </row>
    <row r="108" spans="2:17" ht="4.5" customHeight="1" x14ac:dyDescent="0.2">
      <c r="B108" s="306"/>
      <c r="C108" s="307"/>
      <c r="D108" s="261"/>
      <c r="E108" s="261"/>
      <c r="I108" s="304"/>
      <c r="N108" s="1"/>
      <c r="O108" s="3"/>
      <c r="P108" s="3"/>
      <c r="Q108" s="275"/>
    </row>
    <row r="109" spans="2:17" hidden="1" x14ac:dyDescent="0.2">
      <c r="C109" s="3"/>
    </row>
    <row r="110" spans="2:17" hidden="1" x14ac:dyDescent="0.2">
      <c r="C110" s="275"/>
      <c r="E110" s="301"/>
    </row>
    <row r="111" spans="2:17" hidden="1" x14ac:dyDescent="0.2">
      <c r="C111" s="275"/>
    </row>
    <row r="112" spans="2:17" hidden="1" x14ac:dyDescent="0.2">
      <c r="C112" s="3"/>
    </row>
    <row r="113" spans="2:16" hidden="1" x14ac:dyDescent="0.2">
      <c r="B113" s="8"/>
      <c r="C113" s="275"/>
    </row>
    <row r="114" spans="2:16" x14ac:dyDescent="0.2">
      <c r="B114" s="308"/>
      <c r="C114" s="309"/>
      <c r="D114" s="310"/>
      <c r="E114" s="310"/>
      <c r="F114" s="287"/>
      <c r="I114" s="287"/>
      <c r="J114" s="287"/>
      <c r="K114" s="287"/>
      <c r="P114" s="7"/>
    </row>
    <row r="115" spans="2:16" ht="12" x14ac:dyDescent="0.2">
      <c r="B115" s="311"/>
      <c r="C115" s="312"/>
      <c r="D115" s="310"/>
      <c r="E115" s="310"/>
      <c r="F115" s="313"/>
      <c r="G115" s="314"/>
      <c r="H115" s="314"/>
      <c r="I115" s="305"/>
      <c r="J115" s="6"/>
      <c r="K115" s="2"/>
      <c r="N115" s="262"/>
      <c r="P115" s="7"/>
    </row>
    <row r="116" spans="2:16" ht="12" hidden="1" x14ac:dyDescent="0.2">
      <c r="B116" s="311"/>
      <c r="C116" s="312"/>
      <c r="D116" s="315"/>
      <c r="E116" s="316"/>
      <c r="F116" s="314"/>
      <c r="G116" s="314"/>
      <c r="H116" s="314"/>
      <c r="I116" s="305"/>
      <c r="J116" s="6"/>
      <c r="K116" s="2"/>
      <c r="N116" s="262"/>
      <c r="P116" s="7"/>
    </row>
    <row r="117" spans="2:16" ht="12" hidden="1" x14ac:dyDescent="0.2">
      <c r="B117" s="311"/>
      <c r="C117" s="317"/>
      <c r="D117" s="310"/>
      <c r="F117" s="314"/>
      <c r="G117" s="314"/>
      <c r="H117" s="314"/>
      <c r="I117" s="305"/>
      <c r="J117" s="6"/>
      <c r="K117" s="2"/>
      <c r="N117" s="262"/>
      <c r="P117" s="7"/>
    </row>
    <row r="118" spans="2:16" ht="12" hidden="1" x14ac:dyDescent="0.2">
      <c r="B118" s="311"/>
      <c r="C118" s="317"/>
      <c r="D118" s="310"/>
      <c r="F118" s="314"/>
      <c r="G118" s="314"/>
      <c r="H118" s="314"/>
      <c r="I118" s="305"/>
      <c r="J118" s="6"/>
      <c r="K118" s="2"/>
      <c r="N118" s="262"/>
      <c r="P118" s="7"/>
    </row>
    <row r="119" spans="2:16" ht="12" hidden="1" x14ac:dyDescent="0.2">
      <c r="B119" s="311"/>
      <c r="C119" s="309"/>
      <c r="D119" s="310"/>
      <c r="E119" s="318"/>
      <c r="F119" s="319"/>
      <c r="G119" s="314"/>
      <c r="H119" s="314"/>
      <c r="I119" s="305"/>
      <c r="J119" s="6"/>
      <c r="K119" s="2"/>
      <c r="P119" s="7"/>
    </row>
    <row r="120" spans="2:16" hidden="1" x14ac:dyDescent="0.2">
      <c r="B120" s="286"/>
      <c r="C120" s="309"/>
      <c r="D120" s="310"/>
      <c r="E120" s="275"/>
      <c r="I120" s="2"/>
      <c r="J120" s="6"/>
      <c r="K120" s="2"/>
      <c r="P120" s="7"/>
    </row>
    <row r="121" spans="2:16" hidden="1" x14ac:dyDescent="0.2">
      <c r="B121" s="286"/>
      <c r="C121" s="309"/>
      <c r="D121" s="310"/>
      <c r="F121" s="262"/>
      <c r="I121" s="5"/>
      <c r="J121" s="6"/>
      <c r="K121" s="2"/>
      <c r="P121" s="7"/>
    </row>
    <row r="122" spans="2:16" hidden="1" x14ac:dyDescent="0.2">
      <c r="B122" s="308"/>
      <c r="C122" s="312"/>
      <c r="D122" s="310"/>
      <c r="E122" s="264"/>
      <c r="F122" s="6"/>
      <c r="I122" s="6"/>
      <c r="J122" s="6"/>
      <c r="L122" s="6"/>
      <c r="P122" s="7"/>
    </row>
    <row r="123" spans="2:16" hidden="1" x14ac:dyDescent="0.2">
      <c r="B123" s="286"/>
      <c r="C123" s="312"/>
      <c r="D123" s="310"/>
      <c r="E123" s="264"/>
      <c r="F123" s="6"/>
      <c r="I123" s="6"/>
      <c r="J123" s="6"/>
      <c r="L123" s="6"/>
      <c r="P123" s="7"/>
    </row>
    <row r="124" spans="2:16" hidden="1" x14ac:dyDescent="0.2">
      <c r="B124" s="286"/>
      <c r="C124" s="309"/>
      <c r="D124" s="310"/>
      <c r="E124" s="264"/>
      <c r="F124" s="6"/>
      <c r="I124" s="6"/>
      <c r="J124" s="6"/>
      <c r="L124" s="6"/>
      <c r="P124" s="7"/>
    </row>
    <row r="125" spans="2:16" hidden="1" x14ac:dyDescent="0.2">
      <c r="B125" s="286"/>
      <c r="C125" s="312"/>
      <c r="D125" s="310"/>
      <c r="E125" s="275"/>
      <c r="F125" s="262"/>
      <c r="I125" s="5"/>
      <c r="J125" s="6"/>
      <c r="K125" s="2"/>
      <c r="N125" s="13"/>
      <c r="O125" s="13"/>
      <c r="P125" s="320"/>
    </row>
    <row r="126" spans="2:16" hidden="1" x14ac:dyDescent="0.2">
      <c r="B126" s="286"/>
      <c r="C126" s="317"/>
      <c r="D126" s="310"/>
      <c r="F126" s="262"/>
      <c r="I126" s="5"/>
      <c r="J126" s="6"/>
      <c r="K126" s="2"/>
      <c r="P126" s="7"/>
    </row>
    <row r="127" spans="2:16" hidden="1" x14ac:dyDescent="0.2">
      <c r="B127" s="286"/>
      <c r="C127" s="309"/>
      <c r="D127" s="310"/>
      <c r="F127" s="262"/>
      <c r="I127" s="5"/>
      <c r="J127" s="6"/>
      <c r="K127" s="2"/>
      <c r="P127" s="7"/>
    </row>
    <row r="128" spans="2:16" hidden="1" x14ac:dyDescent="0.2">
      <c r="B128" s="286"/>
      <c r="C128" s="312"/>
      <c r="D128" s="310"/>
      <c r="F128" s="262"/>
      <c r="I128" s="5"/>
      <c r="J128" s="6"/>
      <c r="K128" s="2"/>
      <c r="N128" s="13"/>
      <c r="P128" s="7"/>
    </row>
    <row r="129" spans="2:16" x14ac:dyDescent="0.2">
      <c r="B129" s="286"/>
      <c r="C129" s="309"/>
      <c r="D129" s="310"/>
      <c r="E129" s="310"/>
      <c r="F129" s="287"/>
      <c r="I129" s="5"/>
      <c r="J129" s="6"/>
      <c r="K129" s="2"/>
      <c r="P129" s="7"/>
    </row>
    <row r="130" spans="2:16" x14ac:dyDescent="0.2">
      <c r="B130" s="286"/>
      <c r="C130" s="317"/>
      <c r="D130" s="321"/>
      <c r="F130" s="262"/>
      <c r="I130" s="5"/>
      <c r="J130" s="6"/>
      <c r="K130" s="2"/>
    </row>
    <row r="131" spans="2:16" x14ac:dyDescent="0.2">
      <c r="C131" s="322"/>
      <c r="F131" s="262"/>
      <c r="I131" s="5"/>
      <c r="J131" s="6"/>
      <c r="K131" s="2"/>
      <c r="P131" s="7"/>
    </row>
    <row r="132" spans="2:16" x14ac:dyDescent="0.2">
      <c r="C132" s="275"/>
      <c r="F132" s="262"/>
      <c r="I132" s="2"/>
      <c r="J132" s="2"/>
      <c r="K132" s="2"/>
      <c r="P132" s="7"/>
    </row>
    <row r="133" spans="2:16" x14ac:dyDescent="0.2">
      <c r="B133" s="1" t="s">
        <v>133</v>
      </c>
      <c r="C133" s="3"/>
      <c r="F133" s="268">
        <v>58000000</v>
      </c>
      <c r="I133" s="2"/>
      <c r="J133" s="2"/>
      <c r="K133" s="2"/>
    </row>
    <row r="134" spans="2:16" x14ac:dyDescent="0.2">
      <c r="B134" s="268"/>
      <c r="C134" s="275"/>
      <c r="F134" s="2">
        <v>49300000</v>
      </c>
      <c r="G134" s="275"/>
      <c r="I134" s="1"/>
    </row>
    <row r="135" spans="2:16" x14ac:dyDescent="0.2">
      <c r="B135" s="2"/>
      <c r="C135" s="3"/>
      <c r="F135" s="2">
        <v>8700000</v>
      </c>
      <c r="G135" s="3" t="s">
        <v>134</v>
      </c>
    </row>
    <row r="136" spans="2:16" x14ac:dyDescent="0.2">
      <c r="B136" s="2"/>
      <c r="C136" s="3"/>
      <c r="G136" s="3" t="s">
        <v>135</v>
      </c>
      <c r="H136" s="3" t="s">
        <v>136</v>
      </c>
    </row>
    <row r="137" spans="2:16" x14ac:dyDescent="0.2">
      <c r="C137" s="275"/>
    </row>
    <row r="138" spans="2:16" x14ac:dyDescent="0.2">
      <c r="C138" s="275"/>
    </row>
    <row r="139" spans="2:16" x14ac:dyDescent="0.2">
      <c r="C139" s="3"/>
    </row>
    <row r="140" spans="2:16" x14ac:dyDescent="0.2">
      <c r="C140" s="3"/>
      <c r="I140" s="1"/>
      <c r="J140" s="2"/>
      <c r="K140" s="2"/>
    </row>
    <row r="141" spans="2:16" x14ac:dyDescent="0.2">
      <c r="C141" s="3"/>
      <c r="I141" s="1"/>
      <c r="J141" s="2"/>
      <c r="K141" s="2"/>
    </row>
    <row r="142" spans="2:16" x14ac:dyDescent="0.2">
      <c r="C142" s="3"/>
      <c r="I142" s="1"/>
      <c r="J142" s="2"/>
      <c r="K142" s="2"/>
    </row>
    <row r="143" spans="2:16" x14ac:dyDescent="0.2">
      <c r="C143" s="275"/>
    </row>
    <row r="144" spans="2:16" x14ac:dyDescent="0.2">
      <c r="C144" s="3"/>
    </row>
    <row r="145" spans="3:3" x14ac:dyDescent="0.2">
      <c r="C145" s="275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  <row r="150" spans="3:3" x14ac:dyDescent="0.2">
      <c r="C150" s="5"/>
    </row>
    <row r="151" spans="3:3" x14ac:dyDescent="0.2">
      <c r="C151" s="5"/>
    </row>
    <row r="152" spans="3:3" x14ac:dyDescent="0.2">
      <c r="C152" s="5"/>
    </row>
    <row r="153" spans="3:3" x14ac:dyDescent="0.2">
      <c r="C153" s="5"/>
    </row>
    <row r="154" spans="3:3" x14ac:dyDescent="0.2">
      <c r="C154" s="276"/>
    </row>
    <row r="155" spans="3:3" x14ac:dyDescent="0.2">
      <c r="C155" s="5"/>
    </row>
    <row r="161" spans="3:3" x14ac:dyDescent="0.2">
      <c r="C161" s="323"/>
    </row>
    <row r="162" spans="3:3" x14ac:dyDescent="0.2">
      <c r="C162" s="3"/>
    </row>
    <row r="163" spans="3:3" x14ac:dyDescent="0.2">
      <c r="C163" s="300"/>
    </row>
    <row r="164" spans="3:3" x14ac:dyDescent="0.2">
      <c r="C164" s="324"/>
    </row>
    <row r="165" spans="3:3" x14ac:dyDescent="0.2">
      <c r="C165" s="300"/>
    </row>
    <row r="166" spans="3:3" x14ac:dyDescent="0.2">
      <c r="C166" s="300"/>
    </row>
    <row r="167" spans="3:3" x14ac:dyDescent="0.2">
      <c r="C167" s="300"/>
    </row>
    <row r="168" spans="3:3" x14ac:dyDescent="0.2">
      <c r="C168" s="300"/>
    </row>
    <row r="169" spans="3:3" x14ac:dyDescent="0.2">
      <c r="C169" s="300"/>
    </row>
    <row r="170" spans="3:3" x14ac:dyDescent="0.2">
      <c r="C170" s="324"/>
    </row>
    <row r="171" spans="3:3" x14ac:dyDescent="0.2">
      <c r="C171" s="324"/>
    </row>
    <row r="172" spans="3:3" x14ac:dyDescent="0.2">
      <c r="C172" s="325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275"/>
    </row>
  </sheetData>
  <mergeCells count="3">
    <mergeCell ref="E5:Q5"/>
    <mergeCell ref="I7:Q7"/>
    <mergeCell ref="V7:X7"/>
  </mergeCells>
  <pageMargins left="0.78740157480314965" right="0" top="0" bottom="0" header="0" footer="0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4C0C-0A44-417E-95BF-931C2E6FE10F}">
  <sheetPr>
    <tabColor rgb="FFFF0000"/>
    <pageSetUpPr fitToPage="1"/>
  </sheetPr>
  <dimension ref="A1:I68"/>
  <sheetViews>
    <sheetView topLeftCell="A16" workbookViewId="0">
      <selection activeCell="E64" sqref="E64"/>
    </sheetView>
  </sheetViews>
  <sheetFormatPr defaultRowHeight="11.25" x14ac:dyDescent="0.2"/>
  <cols>
    <col min="1" max="1" width="4.85546875" style="326" customWidth="1"/>
    <col min="2" max="2" width="43.5703125" style="1" customWidth="1"/>
    <col min="3" max="3" width="6" style="326" customWidth="1"/>
    <col min="4" max="4" width="11.28515625" style="1" hidden="1" customWidth="1"/>
    <col min="5" max="5" width="12.5703125" style="1" customWidth="1"/>
    <col min="6" max="6" width="11.42578125" style="1" customWidth="1"/>
    <col min="7" max="7" width="10.5703125" style="1" customWidth="1"/>
    <col min="8" max="256" width="9.140625" style="1"/>
    <col min="257" max="257" width="4.85546875" style="1" customWidth="1"/>
    <col min="258" max="258" width="43.5703125" style="1" customWidth="1"/>
    <col min="259" max="259" width="6" style="1" customWidth="1"/>
    <col min="260" max="260" width="0" style="1" hidden="1" customWidth="1"/>
    <col min="261" max="261" width="12.5703125" style="1" customWidth="1"/>
    <col min="262" max="262" width="11.42578125" style="1" customWidth="1"/>
    <col min="263" max="263" width="10.5703125" style="1" customWidth="1"/>
    <col min="264" max="512" width="9.140625" style="1"/>
    <col min="513" max="513" width="4.85546875" style="1" customWidth="1"/>
    <col min="514" max="514" width="43.5703125" style="1" customWidth="1"/>
    <col min="515" max="515" width="6" style="1" customWidth="1"/>
    <col min="516" max="516" width="0" style="1" hidden="1" customWidth="1"/>
    <col min="517" max="517" width="12.5703125" style="1" customWidth="1"/>
    <col min="518" max="518" width="11.42578125" style="1" customWidth="1"/>
    <col min="519" max="519" width="10.5703125" style="1" customWidth="1"/>
    <col min="520" max="768" width="9.140625" style="1"/>
    <col min="769" max="769" width="4.85546875" style="1" customWidth="1"/>
    <col min="770" max="770" width="43.5703125" style="1" customWidth="1"/>
    <col min="771" max="771" width="6" style="1" customWidth="1"/>
    <col min="772" max="772" width="0" style="1" hidden="1" customWidth="1"/>
    <col min="773" max="773" width="12.5703125" style="1" customWidth="1"/>
    <col min="774" max="774" width="11.42578125" style="1" customWidth="1"/>
    <col min="775" max="775" width="10.5703125" style="1" customWidth="1"/>
    <col min="776" max="1024" width="9.140625" style="1"/>
    <col min="1025" max="1025" width="4.85546875" style="1" customWidth="1"/>
    <col min="1026" max="1026" width="43.5703125" style="1" customWidth="1"/>
    <col min="1027" max="1027" width="6" style="1" customWidth="1"/>
    <col min="1028" max="1028" width="0" style="1" hidden="1" customWidth="1"/>
    <col min="1029" max="1029" width="12.5703125" style="1" customWidth="1"/>
    <col min="1030" max="1030" width="11.42578125" style="1" customWidth="1"/>
    <col min="1031" max="1031" width="10.5703125" style="1" customWidth="1"/>
    <col min="1032" max="1280" width="9.140625" style="1"/>
    <col min="1281" max="1281" width="4.85546875" style="1" customWidth="1"/>
    <col min="1282" max="1282" width="43.5703125" style="1" customWidth="1"/>
    <col min="1283" max="1283" width="6" style="1" customWidth="1"/>
    <col min="1284" max="1284" width="0" style="1" hidden="1" customWidth="1"/>
    <col min="1285" max="1285" width="12.5703125" style="1" customWidth="1"/>
    <col min="1286" max="1286" width="11.42578125" style="1" customWidth="1"/>
    <col min="1287" max="1287" width="10.5703125" style="1" customWidth="1"/>
    <col min="1288" max="1536" width="9.140625" style="1"/>
    <col min="1537" max="1537" width="4.85546875" style="1" customWidth="1"/>
    <col min="1538" max="1538" width="43.5703125" style="1" customWidth="1"/>
    <col min="1539" max="1539" width="6" style="1" customWidth="1"/>
    <col min="1540" max="1540" width="0" style="1" hidden="1" customWidth="1"/>
    <col min="1541" max="1541" width="12.5703125" style="1" customWidth="1"/>
    <col min="1542" max="1542" width="11.42578125" style="1" customWidth="1"/>
    <col min="1543" max="1543" width="10.5703125" style="1" customWidth="1"/>
    <col min="1544" max="1792" width="9.140625" style="1"/>
    <col min="1793" max="1793" width="4.85546875" style="1" customWidth="1"/>
    <col min="1794" max="1794" width="43.5703125" style="1" customWidth="1"/>
    <col min="1795" max="1795" width="6" style="1" customWidth="1"/>
    <col min="1796" max="1796" width="0" style="1" hidden="1" customWidth="1"/>
    <col min="1797" max="1797" width="12.5703125" style="1" customWidth="1"/>
    <col min="1798" max="1798" width="11.42578125" style="1" customWidth="1"/>
    <col min="1799" max="1799" width="10.5703125" style="1" customWidth="1"/>
    <col min="1800" max="2048" width="9.140625" style="1"/>
    <col min="2049" max="2049" width="4.85546875" style="1" customWidth="1"/>
    <col min="2050" max="2050" width="43.5703125" style="1" customWidth="1"/>
    <col min="2051" max="2051" width="6" style="1" customWidth="1"/>
    <col min="2052" max="2052" width="0" style="1" hidden="1" customWidth="1"/>
    <col min="2053" max="2053" width="12.5703125" style="1" customWidth="1"/>
    <col min="2054" max="2054" width="11.42578125" style="1" customWidth="1"/>
    <col min="2055" max="2055" width="10.5703125" style="1" customWidth="1"/>
    <col min="2056" max="2304" width="9.140625" style="1"/>
    <col min="2305" max="2305" width="4.85546875" style="1" customWidth="1"/>
    <col min="2306" max="2306" width="43.5703125" style="1" customWidth="1"/>
    <col min="2307" max="2307" width="6" style="1" customWidth="1"/>
    <col min="2308" max="2308" width="0" style="1" hidden="1" customWidth="1"/>
    <col min="2309" max="2309" width="12.5703125" style="1" customWidth="1"/>
    <col min="2310" max="2310" width="11.42578125" style="1" customWidth="1"/>
    <col min="2311" max="2311" width="10.5703125" style="1" customWidth="1"/>
    <col min="2312" max="2560" width="9.140625" style="1"/>
    <col min="2561" max="2561" width="4.85546875" style="1" customWidth="1"/>
    <col min="2562" max="2562" width="43.5703125" style="1" customWidth="1"/>
    <col min="2563" max="2563" width="6" style="1" customWidth="1"/>
    <col min="2564" max="2564" width="0" style="1" hidden="1" customWidth="1"/>
    <col min="2565" max="2565" width="12.5703125" style="1" customWidth="1"/>
    <col min="2566" max="2566" width="11.42578125" style="1" customWidth="1"/>
    <col min="2567" max="2567" width="10.5703125" style="1" customWidth="1"/>
    <col min="2568" max="2816" width="9.140625" style="1"/>
    <col min="2817" max="2817" width="4.85546875" style="1" customWidth="1"/>
    <col min="2818" max="2818" width="43.5703125" style="1" customWidth="1"/>
    <col min="2819" max="2819" width="6" style="1" customWidth="1"/>
    <col min="2820" max="2820" width="0" style="1" hidden="1" customWidth="1"/>
    <col min="2821" max="2821" width="12.5703125" style="1" customWidth="1"/>
    <col min="2822" max="2822" width="11.42578125" style="1" customWidth="1"/>
    <col min="2823" max="2823" width="10.5703125" style="1" customWidth="1"/>
    <col min="2824" max="3072" width="9.140625" style="1"/>
    <col min="3073" max="3073" width="4.85546875" style="1" customWidth="1"/>
    <col min="3074" max="3074" width="43.5703125" style="1" customWidth="1"/>
    <col min="3075" max="3075" width="6" style="1" customWidth="1"/>
    <col min="3076" max="3076" width="0" style="1" hidden="1" customWidth="1"/>
    <col min="3077" max="3077" width="12.5703125" style="1" customWidth="1"/>
    <col min="3078" max="3078" width="11.42578125" style="1" customWidth="1"/>
    <col min="3079" max="3079" width="10.5703125" style="1" customWidth="1"/>
    <col min="3080" max="3328" width="9.140625" style="1"/>
    <col min="3329" max="3329" width="4.85546875" style="1" customWidth="1"/>
    <col min="3330" max="3330" width="43.5703125" style="1" customWidth="1"/>
    <col min="3331" max="3331" width="6" style="1" customWidth="1"/>
    <col min="3332" max="3332" width="0" style="1" hidden="1" customWidth="1"/>
    <col min="3333" max="3333" width="12.5703125" style="1" customWidth="1"/>
    <col min="3334" max="3334" width="11.42578125" style="1" customWidth="1"/>
    <col min="3335" max="3335" width="10.5703125" style="1" customWidth="1"/>
    <col min="3336" max="3584" width="9.140625" style="1"/>
    <col min="3585" max="3585" width="4.85546875" style="1" customWidth="1"/>
    <col min="3586" max="3586" width="43.5703125" style="1" customWidth="1"/>
    <col min="3587" max="3587" width="6" style="1" customWidth="1"/>
    <col min="3588" max="3588" width="0" style="1" hidden="1" customWidth="1"/>
    <col min="3589" max="3589" width="12.5703125" style="1" customWidth="1"/>
    <col min="3590" max="3590" width="11.42578125" style="1" customWidth="1"/>
    <col min="3591" max="3591" width="10.5703125" style="1" customWidth="1"/>
    <col min="3592" max="3840" width="9.140625" style="1"/>
    <col min="3841" max="3841" width="4.85546875" style="1" customWidth="1"/>
    <col min="3842" max="3842" width="43.5703125" style="1" customWidth="1"/>
    <col min="3843" max="3843" width="6" style="1" customWidth="1"/>
    <col min="3844" max="3844" width="0" style="1" hidden="1" customWidth="1"/>
    <col min="3845" max="3845" width="12.5703125" style="1" customWidth="1"/>
    <col min="3846" max="3846" width="11.42578125" style="1" customWidth="1"/>
    <col min="3847" max="3847" width="10.5703125" style="1" customWidth="1"/>
    <col min="3848" max="4096" width="9.140625" style="1"/>
    <col min="4097" max="4097" width="4.85546875" style="1" customWidth="1"/>
    <col min="4098" max="4098" width="43.5703125" style="1" customWidth="1"/>
    <col min="4099" max="4099" width="6" style="1" customWidth="1"/>
    <col min="4100" max="4100" width="0" style="1" hidden="1" customWidth="1"/>
    <col min="4101" max="4101" width="12.5703125" style="1" customWidth="1"/>
    <col min="4102" max="4102" width="11.42578125" style="1" customWidth="1"/>
    <col min="4103" max="4103" width="10.5703125" style="1" customWidth="1"/>
    <col min="4104" max="4352" width="9.140625" style="1"/>
    <col min="4353" max="4353" width="4.85546875" style="1" customWidth="1"/>
    <col min="4354" max="4354" width="43.5703125" style="1" customWidth="1"/>
    <col min="4355" max="4355" width="6" style="1" customWidth="1"/>
    <col min="4356" max="4356" width="0" style="1" hidden="1" customWidth="1"/>
    <col min="4357" max="4357" width="12.5703125" style="1" customWidth="1"/>
    <col min="4358" max="4358" width="11.42578125" style="1" customWidth="1"/>
    <col min="4359" max="4359" width="10.5703125" style="1" customWidth="1"/>
    <col min="4360" max="4608" width="9.140625" style="1"/>
    <col min="4609" max="4609" width="4.85546875" style="1" customWidth="1"/>
    <col min="4610" max="4610" width="43.5703125" style="1" customWidth="1"/>
    <col min="4611" max="4611" width="6" style="1" customWidth="1"/>
    <col min="4612" max="4612" width="0" style="1" hidden="1" customWidth="1"/>
    <col min="4613" max="4613" width="12.5703125" style="1" customWidth="1"/>
    <col min="4614" max="4614" width="11.42578125" style="1" customWidth="1"/>
    <col min="4615" max="4615" width="10.5703125" style="1" customWidth="1"/>
    <col min="4616" max="4864" width="9.140625" style="1"/>
    <col min="4865" max="4865" width="4.85546875" style="1" customWidth="1"/>
    <col min="4866" max="4866" width="43.5703125" style="1" customWidth="1"/>
    <col min="4867" max="4867" width="6" style="1" customWidth="1"/>
    <col min="4868" max="4868" width="0" style="1" hidden="1" customWidth="1"/>
    <col min="4869" max="4869" width="12.5703125" style="1" customWidth="1"/>
    <col min="4870" max="4870" width="11.42578125" style="1" customWidth="1"/>
    <col min="4871" max="4871" width="10.5703125" style="1" customWidth="1"/>
    <col min="4872" max="5120" width="9.140625" style="1"/>
    <col min="5121" max="5121" width="4.85546875" style="1" customWidth="1"/>
    <col min="5122" max="5122" width="43.5703125" style="1" customWidth="1"/>
    <col min="5123" max="5123" width="6" style="1" customWidth="1"/>
    <col min="5124" max="5124" width="0" style="1" hidden="1" customWidth="1"/>
    <col min="5125" max="5125" width="12.5703125" style="1" customWidth="1"/>
    <col min="5126" max="5126" width="11.42578125" style="1" customWidth="1"/>
    <col min="5127" max="5127" width="10.5703125" style="1" customWidth="1"/>
    <col min="5128" max="5376" width="9.140625" style="1"/>
    <col min="5377" max="5377" width="4.85546875" style="1" customWidth="1"/>
    <col min="5378" max="5378" width="43.5703125" style="1" customWidth="1"/>
    <col min="5379" max="5379" width="6" style="1" customWidth="1"/>
    <col min="5380" max="5380" width="0" style="1" hidden="1" customWidth="1"/>
    <col min="5381" max="5381" width="12.5703125" style="1" customWidth="1"/>
    <col min="5382" max="5382" width="11.42578125" style="1" customWidth="1"/>
    <col min="5383" max="5383" width="10.5703125" style="1" customWidth="1"/>
    <col min="5384" max="5632" width="9.140625" style="1"/>
    <col min="5633" max="5633" width="4.85546875" style="1" customWidth="1"/>
    <col min="5634" max="5634" width="43.5703125" style="1" customWidth="1"/>
    <col min="5635" max="5635" width="6" style="1" customWidth="1"/>
    <col min="5636" max="5636" width="0" style="1" hidden="1" customWidth="1"/>
    <col min="5637" max="5637" width="12.5703125" style="1" customWidth="1"/>
    <col min="5638" max="5638" width="11.42578125" style="1" customWidth="1"/>
    <col min="5639" max="5639" width="10.5703125" style="1" customWidth="1"/>
    <col min="5640" max="5888" width="9.140625" style="1"/>
    <col min="5889" max="5889" width="4.85546875" style="1" customWidth="1"/>
    <col min="5890" max="5890" width="43.5703125" style="1" customWidth="1"/>
    <col min="5891" max="5891" width="6" style="1" customWidth="1"/>
    <col min="5892" max="5892" width="0" style="1" hidden="1" customWidth="1"/>
    <col min="5893" max="5893" width="12.5703125" style="1" customWidth="1"/>
    <col min="5894" max="5894" width="11.42578125" style="1" customWidth="1"/>
    <col min="5895" max="5895" width="10.5703125" style="1" customWidth="1"/>
    <col min="5896" max="6144" width="9.140625" style="1"/>
    <col min="6145" max="6145" width="4.85546875" style="1" customWidth="1"/>
    <col min="6146" max="6146" width="43.5703125" style="1" customWidth="1"/>
    <col min="6147" max="6147" width="6" style="1" customWidth="1"/>
    <col min="6148" max="6148" width="0" style="1" hidden="1" customWidth="1"/>
    <col min="6149" max="6149" width="12.5703125" style="1" customWidth="1"/>
    <col min="6150" max="6150" width="11.42578125" style="1" customWidth="1"/>
    <col min="6151" max="6151" width="10.5703125" style="1" customWidth="1"/>
    <col min="6152" max="6400" width="9.140625" style="1"/>
    <col min="6401" max="6401" width="4.85546875" style="1" customWidth="1"/>
    <col min="6402" max="6402" width="43.5703125" style="1" customWidth="1"/>
    <col min="6403" max="6403" width="6" style="1" customWidth="1"/>
    <col min="6404" max="6404" width="0" style="1" hidden="1" customWidth="1"/>
    <col min="6405" max="6405" width="12.5703125" style="1" customWidth="1"/>
    <col min="6406" max="6406" width="11.42578125" style="1" customWidth="1"/>
    <col min="6407" max="6407" width="10.5703125" style="1" customWidth="1"/>
    <col min="6408" max="6656" width="9.140625" style="1"/>
    <col min="6657" max="6657" width="4.85546875" style="1" customWidth="1"/>
    <col min="6658" max="6658" width="43.5703125" style="1" customWidth="1"/>
    <col min="6659" max="6659" width="6" style="1" customWidth="1"/>
    <col min="6660" max="6660" width="0" style="1" hidden="1" customWidth="1"/>
    <col min="6661" max="6661" width="12.5703125" style="1" customWidth="1"/>
    <col min="6662" max="6662" width="11.42578125" style="1" customWidth="1"/>
    <col min="6663" max="6663" width="10.5703125" style="1" customWidth="1"/>
    <col min="6664" max="6912" width="9.140625" style="1"/>
    <col min="6913" max="6913" width="4.85546875" style="1" customWidth="1"/>
    <col min="6914" max="6914" width="43.5703125" style="1" customWidth="1"/>
    <col min="6915" max="6915" width="6" style="1" customWidth="1"/>
    <col min="6916" max="6916" width="0" style="1" hidden="1" customWidth="1"/>
    <col min="6917" max="6917" width="12.5703125" style="1" customWidth="1"/>
    <col min="6918" max="6918" width="11.42578125" style="1" customWidth="1"/>
    <col min="6919" max="6919" width="10.5703125" style="1" customWidth="1"/>
    <col min="6920" max="7168" width="9.140625" style="1"/>
    <col min="7169" max="7169" width="4.85546875" style="1" customWidth="1"/>
    <col min="7170" max="7170" width="43.5703125" style="1" customWidth="1"/>
    <col min="7171" max="7171" width="6" style="1" customWidth="1"/>
    <col min="7172" max="7172" width="0" style="1" hidden="1" customWidth="1"/>
    <col min="7173" max="7173" width="12.5703125" style="1" customWidth="1"/>
    <col min="7174" max="7174" width="11.42578125" style="1" customWidth="1"/>
    <col min="7175" max="7175" width="10.5703125" style="1" customWidth="1"/>
    <col min="7176" max="7424" width="9.140625" style="1"/>
    <col min="7425" max="7425" width="4.85546875" style="1" customWidth="1"/>
    <col min="7426" max="7426" width="43.5703125" style="1" customWidth="1"/>
    <col min="7427" max="7427" width="6" style="1" customWidth="1"/>
    <col min="7428" max="7428" width="0" style="1" hidden="1" customWidth="1"/>
    <col min="7429" max="7429" width="12.5703125" style="1" customWidth="1"/>
    <col min="7430" max="7430" width="11.42578125" style="1" customWidth="1"/>
    <col min="7431" max="7431" width="10.5703125" style="1" customWidth="1"/>
    <col min="7432" max="7680" width="9.140625" style="1"/>
    <col min="7681" max="7681" width="4.85546875" style="1" customWidth="1"/>
    <col min="7682" max="7682" width="43.5703125" style="1" customWidth="1"/>
    <col min="7683" max="7683" width="6" style="1" customWidth="1"/>
    <col min="7684" max="7684" width="0" style="1" hidden="1" customWidth="1"/>
    <col min="7685" max="7685" width="12.5703125" style="1" customWidth="1"/>
    <col min="7686" max="7686" width="11.42578125" style="1" customWidth="1"/>
    <col min="7687" max="7687" width="10.5703125" style="1" customWidth="1"/>
    <col min="7688" max="7936" width="9.140625" style="1"/>
    <col min="7937" max="7937" width="4.85546875" style="1" customWidth="1"/>
    <col min="7938" max="7938" width="43.5703125" style="1" customWidth="1"/>
    <col min="7939" max="7939" width="6" style="1" customWidth="1"/>
    <col min="7940" max="7940" width="0" style="1" hidden="1" customWidth="1"/>
    <col min="7941" max="7941" width="12.5703125" style="1" customWidth="1"/>
    <col min="7942" max="7942" width="11.42578125" style="1" customWidth="1"/>
    <col min="7943" max="7943" width="10.5703125" style="1" customWidth="1"/>
    <col min="7944" max="8192" width="9.140625" style="1"/>
    <col min="8193" max="8193" width="4.85546875" style="1" customWidth="1"/>
    <col min="8194" max="8194" width="43.5703125" style="1" customWidth="1"/>
    <col min="8195" max="8195" width="6" style="1" customWidth="1"/>
    <col min="8196" max="8196" width="0" style="1" hidden="1" customWidth="1"/>
    <col min="8197" max="8197" width="12.5703125" style="1" customWidth="1"/>
    <col min="8198" max="8198" width="11.42578125" style="1" customWidth="1"/>
    <col min="8199" max="8199" width="10.5703125" style="1" customWidth="1"/>
    <col min="8200" max="8448" width="9.140625" style="1"/>
    <col min="8449" max="8449" width="4.85546875" style="1" customWidth="1"/>
    <col min="8450" max="8450" width="43.5703125" style="1" customWidth="1"/>
    <col min="8451" max="8451" width="6" style="1" customWidth="1"/>
    <col min="8452" max="8452" width="0" style="1" hidden="1" customWidth="1"/>
    <col min="8453" max="8453" width="12.5703125" style="1" customWidth="1"/>
    <col min="8454" max="8454" width="11.42578125" style="1" customWidth="1"/>
    <col min="8455" max="8455" width="10.5703125" style="1" customWidth="1"/>
    <col min="8456" max="8704" width="9.140625" style="1"/>
    <col min="8705" max="8705" width="4.85546875" style="1" customWidth="1"/>
    <col min="8706" max="8706" width="43.5703125" style="1" customWidth="1"/>
    <col min="8707" max="8707" width="6" style="1" customWidth="1"/>
    <col min="8708" max="8708" width="0" style="1" hidden="1" customWidth="1"/>
    <col min="8709" max="8709" width="12.5703125" style="1" customWidth="1"/>
    <col min="8710" max="8710" width="11.42578125" style="1" customWidth="1"/>
    <col min="8711" max="8711" width="10.5703125" style="1" customWidth="1"/>
    <col min="8712" max="8960" width="9.140625" style="1"/>
    <col min="8961" max="8961" width="4.85546875" style="1" customWidth="1"/>
    <col min="8962" max="8962" width="43.5703125" style="1" customWidth="1"/>
    <col min="8963" max="8963" width="6" style="1" customWidth="1"/>
    <col min="8964" max="8964" width="0" style="1" hidden="1" customWidth="1"/>
    <col min="8965" max="8965" width="12.5703125" style="1" customWidth="1"/>
    <col min="8966" max="8966" width="11.42578125" style="1" customWidth="1"/>
    <col min="8967" max="8967" width="10.5703125" style="1" customWidth="1"/>
    <col min="8968" max="9216" width="9.140625" style="1"/>
    <col min="9217" max="9217" width="4.85546875" style="1" customWidth="1"/>
    <col min="9218" max="9218" width="43.5703125" style="1" customWidth="1"/>
    <col min="9219" max="9219" width="6" style="1" customWidth="1"/>
    <col min="9220" max="9220" width="0" style="1" hidden="1" customWidth="1"/>
    <col min="9221" max="9221" width="12.5703125" style="1" customWidth="1"/>
    <col min="9222" max="9222" width="11.42578125" style="1" customWidth="1"/>
    <col min="9223" max="9223" width="10.5703125" style="1" customWidth="1"/>
    <col min="9224" max="9472" width="9.140625" style="1"/>
    <col min="9473" max="9473" width="4.85546875" style="1" customWidth="1"/>
    <col min="9474" max="9474" width="43.5703125" style="1" customWidth="1"/>
    <col min="9475" max="9475" width="6" style="1" customWidth="1"/>
    <col min="9476" max="9476" width="0" style="1" hidden="1" customWidth="1"/>
    <col min="9477" max="9477" width="12.5703125" style="1" customWidth="1"/>
    <col min="9478" max="9478" width="11.42578125" style="1" customWidth="1"/>
    <col min="9479" max="9479" width="10.5703125" style="1" customWidth="1"/>
    <col min="9480" max="9728" width="9.140625" style="1"/>
    <col min="9729" max="9729" width="4.85546875" style="1" customWidth="1"/>
    <col min="9730" max="9730" width="43.5703125" style="1" customWidth="1"/>
    <col min="9731" max="9731" width="6" style="1" customWidth="1"/>
    <col min="9732" max="9732" width="0" style="1" hidden="1" customWidth="1"/>
    <col min="9733" max="9733" width="12.5703125" style="1" customWidth="1"/>
    <col min="9734" max="9734" width="11.42578125" style="1" customWidth="1"/>
    <col min="9735" max="9735" width="10.5703125" style="1" customWidth="1"/>
    <col min="9736" max="9984" width="9.140625" style="1"/>
    <col min="9985" max="9985" width="4.85546875" style="1" customWidth="1"/>
    <col min="9986" max="9986" width="43.5703125" style="1" customWidth="1"/>
    <col min="9987" max="9987" width="6" style="1" customWidth="1"/>
    <col min="9988" max="9988" width="0" style="1" hidden="1" customWidth="1"/>
    <col min="9989" max="9989" width="12.5703125" style="1" customWidth="1"/>
    <col min="9990" max="9990" width="11.42578125" style="1" customWidth="1"/>
    <col min="9991" max="9991" width="10.5703125" style="1" customWidth="1"/>
    <col min="9992" max="10240" width="9.140625" style="1"/>
    <col min="10241" max="10241" width="4.85546875" style="1" customWidth="1"/>
    <col min="10242" max="10242" width="43.5703125" style="1" customWidth="1"/>
    <col min="10243" max="10243" width="6" style="1" customWidth="1"/>
    <col min="10244" max="10244" width="0" style="1" hidden="1" customWidth="1"/>
    <col min="10245" max="10245" width="12.5703125" style="1" customWidth="1"/>
    <col min="10246" max="10246" width="11.42578125" style="1" customWidth="1"/>
    <col min="10247" max="10247" width="10.5703125" style="1" customWidth="1"/>
    <col min="10248" max="10496" width="9.140625" style="1"/>
    <col min="10497" max="10497" width="4.85546875" style="1" customWidth="1"/>
    <col min="10498" max="10498" width="43.5703125" style="1" customWidth="1"/>
    <col min="10499" max="10499" width="6" style="1" customWidth="1"/>
    <col min="10500" max="10500" width="0" style="1" hidden="1" customWidth="1"/>
    <col min="10501" max="10501" width="12.5703125" style="1" customWidth="1"/>
    <col min="10502" max="10502" width="11.42578125" style="1" customWidth="1"/>
    <col min="10503" max="10503" width="10.5703125" style="1" customWidth="1"/>
    <col min="10504" max="10752" width="9.140625" style="1"/>
    <col min="10753" max="10753" width="4.85546875" style="1" customWidth="1"/>
    <col min="10754" max="10754" width="43.5703125" style="1" customWidth="1"/>
    <col min="10755" max="10755" width="6" style="1" customWidth="1"/>
    <col min="10756" max="10756" width="0" style="1" hidden="1" customWidth="1"/>
    <col min="10757" max="10757" width="12.5703125" style="1" customWidth="1"/>
    <col min="10758" max="10758" width="11.42578125" style="1" customWidth="1"/>
    <col min="10759" max="10759" width="10.5703125" style="1" customWidth="1"/>
    <col min="10760" max="11008" width="9.140625" style="1"/>
    <col min="11009" max="11009" width="4.85546875" style="1" customWidth="1"/>
    <col min="11010" max="11010" width="43.5703125" style="1" customWidth="1"/>
    <col min="11011" max="11011" width="6" style="1" customWidth="1"/>
    <col min="11012" max="11012" width="0" style="1" hidden="1" customWidth="1"/>
    <col min="11013" max="11013" width="12.5703125" style="1" customWidth="1"/>
    <col min="11014" max="11014" width="11.42578125" style="1" customWidth="1"/>
    <col min="11015" max="11015" width="10.5703125" style="1" customWidth="1"/>
    <col min="11016" max="11264" width="9.140625" style="1"/>
    <col min="11265" max="11265" width="4.85546875" style="1" customWidth="1"/>
    <col min="11266" max="11266" width="43.5703125" style="1" customWidth="1"/>
    <col min="11267" max="11267" width="6" style="1" customWidth="1"/>
    <col min="11268" max="11268" width="0" style="1" hidden="1" customWidth="1"/>
    <col min="11269" max="11269" width="12.5703125" style="1" customWidth="1"/>
    <col min="11270" max="11270" width="11.42578125" style="1" customWidth="1"/>
    <col min="11271" max="11271" width="10.5703125" style="1" customWidth="1"/>
    <col min="11272" max="11520" width="9.140625" style="1"/>
    <col min="11521" max="11521" width="4.85546875" style="1" customWidth="1"/>
    <col min="11522" max="11522" width="43.5703125" style="1" customWidth="1"/>
    <col min="11523" max="11523" width="6" style="1" customWidth="1"/>
    <col min="11524" max="11524" width="0" style="1" hidden="1" customWidth="1"/>
    <col min="11525" max="11525" width="12.5703125" style="1" customWidth="1"/>
    <col min="11526" max="11526" width="11.42578125" style="1" customWidth="1"/>
    <col min="11527" max="11527" width="10.5703125" style="1" customWidth="1"/>
    <col min="11528" max="11776" width="9.140625" style="1"/>
    <col min="11777" max="11777" width="4.85546875" style="1" customWidth="1"/>
    <col min="11778" max="11778" width="43.5703125" style="1" customWidth="1"/>
    <col min="11779" max="11779" width="6" style="1" customWidth="1"/>
    <col min="11780" max="11780" width="0" style="1" hidden="1" customWidth="1"/>
    <col min="11781" max="11781" width="12.5703125" style="1" customWidth="1"/>
    <col min="11782" max="11782" width="11.42578125" style="1" customWidth="1"/>
    <col min="11783" max="11783" width="10.5703125" style="1" customWidth="1"/>
    <col min="11784" max="12032" width="9.140625" style="1"/>
    <col min="12033" max="12033" width="4.85546875" style="1" customWidth="1"/>
    <col min="12034" max="12034" width="43.5703125" style="1" customWidth="1"/>
    <col min="12035" max="12035" width="6" style="1" customWidth="1"/>
    <col min="12036" max="12036" width="0" style="1" hidden="1" customWidth="1"/>
    <col min="12037" max="12037" width="12.5703125" style="1" customWidth="1"/>
    <col min="12038" max="12038" width="11.42578125" style="1" customWidth="1"/>
    <col min="12039" max="12039" width="10.5703125" style="1" customWidth="1"/>
    <col min="12040" max="12288" width="9.140625" style="1"/>
    <col min="12289" max="12289" width="4.85546875" style="1" customWidth="1"/>
    <col min="12290" max="12290" width="43.5703125" style="1" customWidth="1"/>
    <col min="12291" max="12291" width="6" style="1" customWidth="1"/>
    <col min="12292" max="12292" width="0" style="1" hidden="1" customWidth="1"/>
    <col min="12293" max="12293" width="12.5703125" style="1" customWidth="1"/>
    <col min="12294" max="12294" width="11.42578125" style="1" customWidth="1"/>
    <col min="12295" max="12295" width="10.5703125" style="1" customWidth="1"/>
    <col min="12296" max="12544" width="9.140625" style="1"/>
    <col min="12545" max="12545" width="4.85546875" style="1" customWidth="1"/>
    <col min="12546" max="12546" width="43.5703125" style="1" customWidth="1"/>
    <col min="12547" max="12547" width="6" style="1" customWidth="1"/>
    <col min="12548" max="12548" width="0" style="1" hidden="1" customWidth="1"/>
    <col min="12549" max="12549" width="12.5703125" style="1" customWidth="1"/>
    <col min="12550" max="12550" width="11.42578125" style="1" customWidth="1"/>
    <col min="12551" max="12551" width="10.5703125" style="1" customWidth="1"/>
    <col min="12552" max="12800" width="9.140625" style="1"/>
    <col min="12801" max="12801" width="4.85546875" style="1" customWidth="1"/>
    <col min="12802" max="12802" width="43.5703125" style="1" customWidth="1"/>
    <col min="12803" max="12803" width="6" style="1" customWidth="1"/>
    <col min="12804" max="12804" width="0" style="1" hidden="1" customWidth="1"/>
    <col min="12805" max="12805" width="12.5703125" style="1" customWidth="1"/>
    <col min="12806" max="12806" width="11.42578125" style="1" customWidth="1"/>
    <col min="12807" max="12807" width="10.5703125" style="1" customWidth="1"/>
    <col min="12808" max="13056" width="9.140625" style="1"/>
    <col min="13057" max="13057" width="4.85546875" style="1" customWidth="1"/>
    <col min="13058" max="13058" width="43.5703125" style="1" customWidth="1"/>
    <col min="13059" max="13059" width="6" style="1" customWidth="1"/>
    <col min="13060" max="13060" width="0" style="1" hidden="1" customWidth="1"/>
    <col min="13061" max="13061" width="12.5703125" style="1" customWidth="1"/>
    <col min="13062" max="13062" width="11.42578125" style="1" customWidth="1"/>
    <col min="13063" max="13063" width="10.5703125" style="1" customWidth="1"/>
    <col min="13064" max="13312" width="9.140625" style="1"/>
    <col min="13313" max="13313" width="4.85546875" style="1" customWidth="1"/>
    <col min="13314" max="13314" width="43.5703125" style="1" customWidth="1"/>
    <col min="13315" max="13315" width="6" style="1" customWidth="1"/>
    <col min="13316" max="13316" width="0" style="1" hidden="1" customWidth="1"/>
    <col min="13317" max="13317" width="12.5703125" style="1" customWidth="1"/>
    <col min="13318" max="13318" width="11.42578125" style="1" customWidth="1"/>
    <col min="13319" max="13319" width="10.5703125" style="1" customWidth="1"/>
    <col min="13320" max="13568" width="9.140625" style="1"/>
    <col min="13569" max="13569" width="4.85546875" style="1" customWidth="1"/>
    <col min="13570" max="13570" width="43.5703125" style="1" customWidth="1"/>
    <col min="13571" max="13571" width="6" style="1" customWidth="1"/>
    <col min="13572" max="13572" width="0" style="1" hidden="1" customWidth="1"/>
    <col min="13573" max="13573" width="12.5703125" style="1" customWidth="1"/>
    <col min="13574" max="13574" width="11.42578125" style="1" customWidth="1"/>
    <col min="13575" max="13575" width="10.5703125" style="1" customWidth="1"/>
    <col min="13576" max="13824" width="9.140625" style="1"/>
    <col min="13825" max="13825" width="4.85546875" style="1" customWidth="1"/>
    <col min="13826" max="13826" width="43.5703125" style="1" customWidth="1"/>
    <col min="13827" max="13827" width="6" style="1" customWidth="1"/>
    <col min="13828" max="13828" width="0" style="1" hidden="1" customWidth="1"/>
    <col min="13829" max="13829" width="12.5703125" style="1" customWidth="1"/>
    <col min="13830" max="13830" width="11.42578125" style="1" customWidth="1"/>
    <col min="13831" max="13831" width="10.5703125" style="1" customWidth="1"/>
    <col min="13832" max="14080" width="9.140625" style="1"/>
    <col min="14081" max="14081" width="4.85546875" style="1" customWidth="1"/>
    <col min="14082" max="14082" width="43.5703125" style="1" customWidth="1"/>
    <col min="14083" max="14083" width="6" style="1" customWidth="1"/>
    <col min="14084" max="14084" width="0" style="1" hidden="1" customWidth="1"/>
    <col min="14085" max="14085" width="12.5703125" style="1" customWidth="1"/>
    <col min="14086" max="14086" width="11.42578125" style="1" customWidth="1"/>
    <col min="14087" max="14087" width="10.5703125" style="1" customWidth="1"/>
    <col min="14088" max="14336" width="9.140625" style="1"/>
    <col min="14337" max="14337" width="4.85546875" style="1" customWidth="1"/>
    <col min="14338" max="14338" width="43.5703125" style="1" customWidth="1"/>
    <col min="14339" max="14339" width="6" style="1" customWidth="1"/>
    <col min="14340" max="14340" width="0" style="1" hidden="1" customWidth="1"/>
    <col min="14341" max="14341" width="12.5703125" style="1" customWidth="1"/>
    <col min="14342" max="14342" width="11.42578125" style="1" customWidth="1"/>
    <col min="14343" max="14343" width="10.5703125" style="1" customWidth="1"/>
    <col min="14344" max="14592" width="9.140625" style="1"/>
    <col min="14593" max="14593" width="4.85546875" style="1" customWidth="1"/>
    <col min="14594" max="14594" width="43.5703125" style="1" customWidth="1"/>
    <col min="14595" max="14595" width="6" style="1" customWidth="1"/>
    <col min="14596" max="14596" width="0" style="1" hidden="1" customWidth="1"/>
    <col min="14597" max="14597" width="12.5703125" style="1" customWidth="1"/>
    <col min="14598" max="14598" width="11.42578125" style="1" customWidth="1"/>
    <col min="14599" max="14599" width="10.5703125" style="1" customWidth="1"/>
    <col min="14600" max="14848" width="9.140625" style="1"/>
    <col min="14849" max="14849" width="4.85546875" style="1" customWidth="1"/>
    <col min="14850" max="14850" width="43.5703125" style="1" customWidth="1"/>
    <col min="14851" max="14851" width="6" style="1" customWidth="1"/>
    <col min="14852" max="14852" width="0" style="1" hidden="1" customWidth="1"/>
    <col min="14853" max="14853" width="12.5703125" style="1" customWidth="1"/>
    <col min="14854" max="14854" width="11.42578125" style="1" customWidth="1"/>
    <col min="14855" max="14855" width="10.5703125" style="1" customWidth="1"/>
    <col min="14856" max="15104" width="9.140625" style="1"/>
    <col min="15105" max="15105" width="4.85546875" style="1" customWidth="1"/>
    <col min="15106" max="15106" width="43.5703125" style="1" customWidth="1"/>
    <col min="15107" max="15107" width="6" style="1" customWidth="1"/>
    <col min="15108" max="15108" width="0" style="1" hidden="1" customWidth="1"/>
    <col min="15109" max="15109" width="12.5703125" style="1" customWidth="1"/>
    <col min="15110" max="15110" width="11.42578125" style="1" customWidth="1"/>
    <col min="15111" max="15111" width="10.5703125" style="1" customWidth="1"/>
    <col min="15112" max="15360" width="9.140625" style="1"/>
    <col min="15361" max="15361" width="4.85546875" style="1" customWidth="1"/>
    <col min="15362" max="15362" width="43.5703125" style="1" customWidth="1"/>
    <col min="15363" max="15363" width="6" style="1" customWidth="1"/>
    <col min="15364" max="15364" width="0" style="1" hidden="1" customWidth="1"/>
    <col min="15365" max="15365" width="12.5703125" style="1" customWidth="1"/>
    <col min="15366" max="15366" width="11.42578125" style="1" customWidth="1"/>
    <col min="15367" max="15367" width="10.5703125" style="1" customWidth="1"/>
    <col min="15368" max="15616" width="9.140625" style="1"/>
    <col min="15617" max="15617" width="4.85546875" style="1" customWidth="1"/>
    <col min="15618" max="15618" width="43.5703125" style="1" customWidth="1"/>
    <col min="15619" max="15619" width="6" style="1" customWidth="1"/>
    <col min="15620" max="15620" width="0" style="1" hidden="1" customWidth="1"/>
    <col min="15621" max="15621" width="12.5703125" style="1" customWidth="1"/>
    <col min="15622" max="15622" width="11.42578125" style="1" customWidth="1"/>
    <col min="15623" max="15623" width="10.5703125" style="1" customWidth="1"/>
    <col min="15624" max="15872" width="9.140625" style="1"/>
    <col min="15873" max="15873" width="4.85546875" style="1" customWidth="1"/>
    <col min="15874" max="15874" width="43.5703125" style="1" customWidth="1"/>
    <col min="15875" max="15875" width="6" style="1" customWidth="1"/>
    <col min="15876" max="15876" width="0" style="1" hidden="1" customWidth="1"/>
    <col min="15877" max="15877" width="12.5703125" style="1" customWidth="1"/>
    <col min="15878" max="15878" width="11.42578125" style="1" customWidth="1"/>
    <col min="15879" max="15879" width="10.5703125" style="1" customWidth="1"/>
    <col min="15880" max="16128" width="9.140625" style="1"/>
    <col min="16129" max="16129" width="4.85546875" style="1" customWidth="1"/>
    <col min="16130" max="16130" width="43.5703125" style="1" customWidth="1"/>
    <col min="16131" max="16131" width="6" style="1" customWidth="1"/>
    <col min="16132" max="16132" width="0" style="1" hidden="1" customWidth="1"/>
    <col min="16133" max="16133" width="12.5703125" style="1" customWidth="1"/>
    <col min="16134" max="16134" width="11.42578125" style="1" customWidth="1"/>
    <col min="16135" max="16135" width="10.5703125" style="1" customWidth="1"/>
    <col min="16136" max="16384" width="9.140625" style="1"/>
  </cols>
  <sheetData>
    <row r="1" spans="1:8" x14ac:dyDescent="0.2">
      <c r="B1" s="273" t="s">
        <v>2</v>
      </c>
    </row>
    <row r="2" spans="1:8" x14ac:dyDescent="0.2">
      <c r="B2" s="273"/>
    </row>
    <row r="3" spans="1:8" x14ac:dyDescent="0.2">
      <c r="B3" s="326"/>
      <c r="C3" s="327" t="s">
        <v>137</v>
      </c>
      <c r="D3" s="327"/>
      <c r="E3" s="327"/>
      <c r="F3" s="327"/>
    </row>
    <row r="4" spans="1:8" ht="12" thickBot="1" x14ac:dyDescent="0.25">
      <c r="B4" s="4"/>
    </row>
    <row r="5" spans="1:8" x14ac:dyDescent="0.2">
      <c r="A5" s="328" t="s">
        <v>138</v>
      </c>
      <c r="B5" s="329" t="s">
        <v>139</v>
      </c>
      <c r="C5" s="329" t="s">
        <v>140</v>
      </c>
      <c r="D5" s="330" t="s">
        <v>141</v>
      </c>
      <c r="E5" s="331" t="s">
        <v>142</v>
      </c>
      <c r="F5" s="332" t="s">
        <v>143</v>
      </c>
      <c r="G5" s="333" t="s">
        <v>144</v>
      </c>
    </row>
    <row r="6" spans="1:8" x14ac:dyDescent="0.2">
      <c r="A6" s="334" t="s">
        <v>145</v>
      </c>
      <c r="B6" s="335"/>
      <c r="C6" s="335"/>
      <c r="D6" s="336"/>
      <c r="E6" s="337" t="s">
        <v>146</v>
      </c>
      <c r="F6" s="338" t="s">
        <v>147</v>
      </c>
      <c r="G6" s="339" t="s">
        <v>148</v>
      </c>
    </row>
    <row r="7" spans="1:8" x14ac:dyDescent="0.2">
      <c r="A7" s="340" t="s">
        <v>149</v>
      </c>
      <c r="B7" s="341" t="s">
        <v>150</v>
      </c>
      <c r="C7" s="342"/>
      <c r="D7" s="343">
        <v>4042395</v>
      </c>
      <c r="E7" s="344">
        <v>4212501</v>
      </c>
      <c r="F7" s="345">
        <v>4212501</v>
      </c>
      <c r="G7" s="346">
        <f>F7-E7</f>
        <v>0</v>
      </c>
      <c r="H7" s="2"/>
    </row>
    <row r="8" spans="1:8" x14ac:dyDescent="0.2">
      <c r="A8" s="347"/>
      <c r="B8" s="348" t="s">
        <v>151</v>
      </c>
      <c r="C8" s="349"/>
      <c r="D8" s="187"/>
      <c r="E8" s="350"/>
      <c r="F8" s="351"/>
      <c r="G8" s="352"/>
      <c r="H8" s="2"/>
    </row>
    <row r="9" spans="1:8" x14ac:dyDescent="0.2">
      <c r="A9" s="347"/>
      <c r="B9" s="348" t="s">
        <v>98</v>
      </c>
      <c r="C9" s="353">
        <v>0.56999999999999995</v>
      </c>
      <c r="D9" s="187">
        <f>D7*0.57</f>
        <v>2304165.15</v>
      </c>
      <c r="E9" s="350">
        <v>2401126</v>
      </c>
      <c r="F9" s="351">
        <f>E9</f>
        <v>2401126</v>
      </c>
      <c r="G9" s="352">
        <f t="shared" ref="G9:G50" si="0">F9-E9</f>
        <v>0</v>
      </c>
      <c r="H9" s="2"/>
    </row>
    <row r="10" spans="1:8" x14ac:dyDescent="0.2">
      <c r="A10" s="347"/>
      <c r="B10" s="348" t="s">
        <v>99</v>
      </c>
      <c r="C10" s="353">
        <v>0.23</v>
      </c>
      <c r="D10" s="187">
        <f>D7*0.23</f>
        <v>929750.85000000009</v>
      </c>
      <c r="E10" s="350">
        <v>968875</v>
      </c>
      <c r="F10" s="351">
        <f>E10</f>
        <v>968875</v>
      </c>
      <c r="G10" s="352">
        <f t="shared" si="0"/>
        <v>0</v>
      </c>
      <c r="H10" s="2"/>
    </row>
    <row r="11" spans="1:8" x14ac:dyDescent="0.2">
      <c r="A11" s="347"/>
      <c r="B11" s="348" t="s">
        <v>100</v>
      </c>
      <c r="C11" s="353">
        <v>0.14000000000000001</v>
      </c>
      <c r="D11" s="187">
        <f>D7*0.14</f>
        <v>565935.30000000005</v>
      </c>
      <c r="E11" s="350">
        <v>589750.14</v>
      </c>
      <c r="F11" s="351">
        <v>589750.14</v>
      </c>
      <c r="G11" s="352">
        <f t="shared" si="0"/>
        <v>0</v>
      </c>
      <c r="H11" s="2"/>
    </row>
    <row r="12" spans="1:8" x14ac:dyDescent="0.2">
      <c r="A12" s="354"/>
      <c r="B12" s="355" t="s">
        <v>152</v>
      </c>
      <c r="C12" s="356">
        <v>0.06</v>
      </c>
      <c r="D12" s="134">
        <f>D7*0.06</f>
        <v>242543.69999999998</v>
      </c>
      <c r="E12" s="357">
        <v>252750.06</v>
      </c>
      <c r="F12" s="358">
        <v>252750.06</v>
      </c>
      <c r="G12" s="359">
        <f t="shared" si="0"/>
        <v>0</v>
      </c>
      <c r="H12" s="2"/>
    </row>
    <row r="13" spans="1:8" x14ac:dyDescent="0.2">
      <c r="A13" s="360"/>
      <c r="B13" s="361" t="s">
        <v>102</v>
      </c>
      <c r="C13" s="362"/>
      <c r="D13" s="84">
        <f>SUM(D9:D12)</f>
        <v>4042395</v>
      </c>
      <c r="E13" s="363">
        <f>E9+E10+E11+E12</f>
        <v>4212501.2</v>
      </c>
      <c r="F13" s="364">
        <f>F9+F10+F11+F12</f>
        <v>4212501.2</v>
      </c>
      <c r="G13" s="365">
        <f t="shared" si="0"/>
        <v>0</v>
      </c>
      <c r="H13" s="2"/>
    </row>
    <row r="14" spans="1:8" x14ac:dyDescent="0.2">
      <c r="A14" s="340" t="s">
        <v>153</v>
      </c>
      <c r="B14" s="341" t="s">
        <v>154</v>
      </c>
      <c r="C14" s="342"/>
      <c r="D14" s="343">
        <v>3325155</v>
      </c>
      <c r="E14" s="344">
        <v>4615499</v>
      </c>
      <c r="F14" s="345">
        <f>'2023'!P45+'2023'!Q45</f>
        <v>5642499</v>
      </c>
      <c r="G14" s="346">
        <f>F14-E14</f>
        <v>1027000</v>
      </c>
      <c r="H14" s="2"/>
    </row>
    <row r="15" spans="1:8" x14ac:dyDescent="0.2">
      <c r="A15" s="347"/>
      <c r="B15" s="348" t="s">
        <v>151</v>
      </c>
      <c r="C15" s="349"/>
      <c r="D15" s="187"/>
      <c r="E15" s="350"/>
      <c r="F15" s="351"/>
      <c r="G15" s="352">
        <f t="shared" si="0"/>
        <v>0</v>
      </c>
      <c r="H15" s="2"/>
    </row>
    <row r="16" spans="1:8" x14ac:dyDescent="0.2">
      <c r="A16" s="347"/>
      <c r="B16" s="348" t="s">
        <v>155</v>
      </c>
      <c r="C16" s="349"/>
      <c r="D16" s="187"/>
      <c r="E16" s="350">
        <v>2000</v>
      </c>
      <c r="F16" s="351">
        <v>2000</v>
      </c>
      <c r="G16" s="352">
        <f>F16-E16</f>
        <v>0</v>
      </c>
      <c r="H16" s="2"/>
    </row>
    <row r="17" spans="1:8" x14ac:dyDescent="0.2">
      <c r="A17" s="347"/>
      <c r="B17" s="348" t="s">
        <v>156</v>
      </c>
      <c r="C17" s="349"/>
      <c r="D17" s="187"/>
      <c r="E17" s="350">
        <v>0</v>
      </c>
      <c r="F17" s="351">
        <v>0</v>
      </c>
      <c r="G17" s="352">
        <f>F17-E17</f>
        <v>0</v>
      </c>
      <c r="H17" s="2"/>
    </row>
    <row r="18" spans="1:8" x14ac:dyDescent="0.2">
      <c r="A18" s="347"/>
      <c r="B18" s="348" t="s">
        <v>157</v>
      </c>
      <c r="C18" s="349"/>
      <c r="D18" s="187"/>
      <c r="E18" s="350">
        <v>0</v>
      </c>
      <c r="F18" s="351">
        <v>0</v>
      </c>
      <c r="G18" s="352">
        <f t="shared" si="0"/>
        <v>0</v>
      </c>
      <c r="H18" s="2"/>
    </row>
    <row r="19" spans="1:8" x14ac:dyDescent="0.2">
      <c r="A19" s="347"/>
      <c r="B19" s="348" t="s">
        <v>98</v>
      </c>
      <c r="C19" s="353">
        <v>0.56999999999999995</v>
      </c>
      <c r="D19" s="187">
        <f>D14*0.57</f>
        <v>1895338.3499999999</v>
      </c>
      <c r="E19" s="350">
        <f>(E14-E16)*0.57</f>
        <v>2629694.4299999997</v>
      </c>
      <c r="F19" s="351">
        <f>'2023'!K45</f>
        <v>3215084.4299999997</v>
      </c>
      <c r="G19" s="352">
        <f t="shared" si="0"/>
        <v>585390</v>
      </c>
      <c r="H19" s="2"/>
    </row>
    <row r="20" spans="1:8" x14ac:dyDescent="0.2">
      <c r="A20" s="347"/>
      <c r="B20" s="348" t="s">
        <v>99</v>
      </c>
      <c r="C20" s="353">
        <v>0.23</v>
      </c>
      <c r="D20" s="187">
        <f>D14*0.23</f>
        <v>764785.65</v>
      </c>
      <c r="E20" s="350">
        <f>(E14-E16)*0.23</f>
        <v>1061104.77</v>
      </c>
      <c r="F20" s="351">
        <f>'2023'!L45</f>
        <v>1297314.77</v>
      </c>
      <c r="G20" s="352">
        <f t="shared" si="0"/>
        <v>236210</v>
      </c>
      <c r="H20" s="2"/>
    </row>
    <row r="21" spans="1:8" x14ac:dyDescent="0.2">
      <c r="A21" s="347"/>
      <c r="B21" s="348" t="s">
        <v>100</v>
      </c>
      <c r="C21" s="353">
        <v>0.14000000000000001</v>
      </c>
      <c r="D21" s="187">
        <f>D14*0.14</f>
        <v>465521.70000000007</v>
      </c>
      <c r="E21" s="350">
        <f>(E14-E16)*0.14</f>
        <v>645889.8600000001</v>
      </c>
      <c r="F21" s="351">
        <f>'2023'!M45</f>
        <v>789669.8600000001</v>
      </c>
      <c r="G21" s="352">
        <f t="shared" si="0"/>
        <v>143780</v>
      </c>
      <c r="H21" s="2"/>
    </row>
    <row r="22" spans="1:8" x14ac:dyDescent="0.2">
      <c r="A22" s="354"/>
      <c r="B22" s="355" t="s">
        <v>152</v>
      </c>
      <c r="C22" s="356">
        <v>0.06</v>
      </c>
      <c r="D22" s="134">
        <f>D14*0.06</f>
        <v>199509.3</v>
      </c>
      <c r="E22" s="357">
        <f>(E14-E16)*0.06</f>
        <v>276809.94</v>
      </c>
      <c r="F22" s="358">
        <f>'2023'!N45</f>
        <v>338429.94</v>
      </c>
      <c r="G22" s="359">
        <f t="shared" si="0"/>
        <v>61620</v>
      </c>
      <c r="H22" s="2"/>
    </row>
    <row r="23" spans="1:8" x14ac:dyDescent="0.2">
      <c r="A23" s="360"/>
      <c r="B23" s="361" t="s">
        <v>158</v>
      </c>
      <c r="C23" s="366"/>
      <c r="D23" s="84">
        <f>SUM(D19:D22)</f>
        <v>3325155</v>
      </c>
      <c r="E23" s="363">
        <f>E14-E16-E17-E18</f>
        <v>4613499</v>
      </c>
      <c r="F23" s="364">
        <f>F14-F16-F17-F18</f>
        <v>5640499</v>
      </c>
      <c r="G23" s="365">
        <f>F23-E23</f>
        <v>1027000</v>
      </c>
      <c r="H23" s="2"/>
    </row>
    <row r="24" spans="1:8" x14ac:dyDescent="0.2">
      <c r="A24" s="340" t="s">
        <v>159</v>
      </c>
      <c r="B24" s="341" t="s">
        <v>160</v>
      </c>
      <c r="C24" s="342"/>
      <c r="D24" s="367"/>
      <c r="E24" s="344"/>
      <c r="F24" s="345"/>
      <c r="G24" s="346"/>
      <c r="H24" s="2"/>
    </row>
    <row r="25" spans="1:8" x14ac:dyDescent="0.2">
      <c r="A25" s="347" t="s">
        <v>161</v>
      </c>
      <c r="B25" s="348" t="s">
        <v>162</v>
      </c>
      <c r="C25" s="349"/>
      <c r="D25" s="187">
        <v>149500</v>
      </c>
      <c r="E25" s="350">
        <v>165500</v>
      </c>
      <c r="F25" s="351">
        <f>'[1]2023'!I46+'[1]2023'!I47+'[1]2023'!I48</f>
        <v>155000</v>
      </c>
      <c r="G25" s="352">
        <f t="shared" si="0"/>
        <v>-10500</v>
      </c>
      <c r="H25" s="2"/>
    </row>
    <row r="26" spans="1:8" ht="12.75" customHeight="1" x14ac:dyDescent="0.2">
      <c r="A26" s="347" t="s">
        <v>163</v>
      </c>
      <c r="B26" s="368" t="s">
        <v>164</v>
      </c>
      <c r="C26" s="369"/>
      <c r="D26" s="187">
        <v>250000</v>
      </c>
      <c r="E26" s="350">
        <v>25000</v>
      </c>
      <c r="F26" s="351">
        <f>'[1]2023'!I62</f>
        <v>25000</v>
      </c>
      <c r="G26" s="352">
        <f t="shared" si="0"/>
        <v>0</v>
      </c>
      <c r="H26" s="2"/>
    </row>
    <row r="27" spans="1:8" ht="12.75" customHeight="1" x14ac:dyDescent="0.2">
      <c r="A27" s="347" t="s">
        <v>165</v>
      </c>
      <c r="B27" s="368" t="s">
        <v>72</v>
      </c>
      <c r="C27" s="369"/>
      <c r="D27" s="187"/>
      <c r="E27" s="350">
        <v>0</v>
      </c>
      <c r="F27" s="351">
        <f>'[1]2023'!I49</f>
        <v>16000</v>
      </c>
      <c r="G27" s="352">
        <f t="shared" si="0"/>
        <v>16000</v>
      </c>
      <c r="H27" s="2"/>
    </row>
    <row r="28" spans="1:8" ht="12.75" customHeight="1" x14ac:dyDescent="0.2">
      <c r="A28" s="370">
        <v>44289</v>
      </c>
      <c r="B28" s="368" t="s">
        <v>166</v>
      </c>
      <c r="C28" s="369"/>
      <c r="D28" s="187"/>
      <c r="E28" s="350">
        <v>20000</v>
      </c>
      <c r="F28" s="351">
        <f>'[1]2023'!I50</f>
        <v>24000</v>
      </c>
      <c r="G28" s="352">
        <f t="shared" si="0"/>
        <v>4000</v>
      </c>
      <c r="H28" s="2"/>
    </row>
    <row r="29" spans="1:8" x14ac:dyDescent="0.2">
      <c r="A29" s="347" t="s">
        <v>167</v>
      </c>
      <c r="B29" s="368" t="s">
        <v>168</v>
      </c>
      <c r="C29" s="369"/>
      <c r="D29" s="187"/>
      <c r="E29" s="350">
        <v>196000</v>
      </c>
      <c r="F29" s="351">
        <f>'[1]2023'!I51</f>
        <v>207000</v>
      </c>
      <c r="G29" s="352">
        <f t="shared" si="0"/>
        <v>11000</v>
      </c>
      <c r="H29" s="2"/>
    </row>
    <row r="30" spans="1:8" x14ac:dyDescent="0.2">
      <c r="A30" s="347" t="s">
        <v>169</v>
      </c>
      <c r="B30" s="368" t="s">
        <v>170</v>
      </c>
      <c r="C30" s="369"/>
      <c r="D30" s="187"/>
      <c r="E30" s="350">
        <v>19000</v>
      </c>
      <c r="F30" s="351">
        <f>'[1]2023'!I52</f>
        <v>8000</v>
      </c>
      <c r="G30" s="352">
        <f t="shared" si="0"/>
        <v>-11000</v>
      </c>
      <c r="H30" s="2"/>
    </row>
    <row r="31" spans="1:8" ht="12.75" customHeight="1" x14ac:dyDescent="0.2">
      <c r="A31" s="347" t="s">
        <v>171</v>
      </c>
      <c r="B31" s="368" t="s">
        <v>172</v>
      </c>
      <c r="C31" s="369"/>
      <c r="D31" s="187"/>
      <c r="E31" s="350">
        <v>1500000</v>
      </c>
      <c r="F31" s="351">
        <f>'[1]2022'!G58</f>
        <v>1500000</v>
      </c>
      <c r="G31" s="352">
        <f t="shared" si="0"/>
        <v>0</v>
      </c>
      <c r="H31" s="2"/>
    </row>
    <row r="32" spans="1:8" x14ac:dyDescent="0.2">
      <c r="A32" s="347" t="s">
        <v>173</v>
      </c>
      <c r="B32" s="368" t="s">
        <v>174</v>
      </c>
      <c r="C32" s="369"/>
      <c r="D32" s="187"/>
      <c r="E32" s="350">
        <v>3500000</v>
      </c>
      <c r="F32" s="351">
        <f>'[1]2022'!G57</f>
        <v>3500000</v>
      </c>
      <c r="G32" s="352">
        <f t="shared" si="0"/>
        <v>0</v>
      </c>
      <c r="H32" s="2"/>
    </row>
    <row r="33" spans="1:8" x14ac:dyDescent="0.2">
      <c r="A33" s="190"/>
      <c r="B33" s="371" t="s">
        <v>175</v>
      </c>
      <c r="C33" s="372"/>
      <c r="D33" s="84">
        <f>SUM(D25:D26)</f>
        <v>399500</v>
      </c>
      <c r="E33" s="363">
        <f>SUM(E25:E32)</f>
        <v>5425500</v>
      </c>
      <c r="F33" s="364">
        <f>SUM(F25:F32)</f>
        <v>5435000</v>
      </c>
      <c r="G33" s="365">
        <f>SUM(G25:G32)</f>
        <v>9500</v>
      </c>
      <c r="H33" s="2"/>
    </row>
    <row r="34" spans="1:8" x14ac:dyDescent="0.2">
      <c r="A34" s="347"/>
      <c r="B34" s="348" t="s">
        <v>151</v>
      </c>
      <c r="C34" s="349"/>
      <c r="D34" s="187"/>
      <c r="E34" s="350"/>
      <c r="F34" s="351"/>
      <c r="G34" s="352"/>
      <c r="H34" s="2"/>
    </row>
    <row r="35" spans="1:8" x14ac:dyDescent="0.2">
      <c r="A35" s="347"/>
      <c r="B35" s="348" t="s">
        <v>155</v>
      </c>
      <c r="C35" s="349"/>
      <c r="D35" s="187">
        <v>0</v>
      </c>
      <c r="E35" s="350">
        <v>23000</v>
      </c>
      <c r="F35" s="351">
        <v>30000</v>
      </c>
      <c r="G35" s="352">
        <f t="shared" si="0"/>
        <v>7000</v>
      </c>
      <c r="H35" s="2"/>
    </row>
    <row r="36" spans="1:8" x14ac:dyDescent="0.2">
      <c r="A36" s="347"/>
      <c r="B36" s="348" t="s">
        <v>176</v>
      </c>
      <c r="C36" s="349"/>
      <c r="D36" s="187"/>
      <c r="E36" s="350">
        <v>3500</v>
      </c>
      <c r="F36" s="351">
        <v>0</v>
      </c>
      <c r="G36" s="352">
        <f t="shared" si="0"/>
        <v>-3500</v>
      </c>
      <c r="H36" s="2"/>
    </row>
    <row r="37" spans="1:8" x14ac:dyDescent="0.2">
      <c r="A37" s="347"/>
      <c r="B37" s="348" t="s">
        <v>177</v>
      </c>
      <c r="C37" s="349"/>
      <c r="D37" s="187"/>
      <c r="E37" s="350">
        <v>1500000</v>
      </c>
      <c r="F37" s="351">
        <f>'[1]2022'!G58</f>
        <v>1500000</v>
      </c>
      <c r="G37" s="352">
        <f t="shared" si="0"/>
        <v>0</v>
      </c>
      <c r="H37" s="2"/>
    </row>
    <row r="38" spans="1:8" x14ac:dyDescent="0.2">
      <c r="A38" s="347"/>
      <c r="B38" s="348" t="s">
        <v>178</v>
      </c>
      <c r="C38" s="349"/>
      <c r="D38" s="187">
        <v>0</v>
      </c>
      <c r="E38" s="350">
        <v>3500000</v>
      </c>
      <c r="F38" s="351">
        <f>'[1]2022'!G57</f>
        <v>3500000</v>
      </c>
      <c r="G38" s="352">
        <f t="shared" si="0"/>
        <v>0</v>
      </c>
      <c r="H38" s="2"/>
    </row>
    <row r="39" spans="1:8" x14ac:dyDescent="0.2">
      <c r="A39" s="190"/>
      <c r="B39" s="361" t="s">
        <v>179</v>
      </c>
      <c r="C39" s="366"/>
      <c r="D39" s="84" t="e">
        <f>D33-#REF!</f>
        <v>#REF!</v>
      </c>
      <c r="E39" s="363">
        <f>E33-E35-E36-E37-E38</f>
        <v>399000</v>
      </c>
      <c r="F39" s="364">
        <f>F33-F35-F36-F37-F38</f>
        <v>405000</v>
      </c>
      <c r="G39" s="373">
        <f>F39-E39</f>
        <v>6000</v>
      </c>
      <c r="H39" s="2"/>
    </row>
    <row r="40" spans="1:8" x14ac:dyDescent="0.2">
      <c r="A40" s="347"/>
      <c r="B40" s="348" t="s">
        <v>98</v>
      </c>
      <c r="C40" s="353">
        <v>0.56999999999999995</v>
      </c>
      <c r="D40" s="187" t="e">
        <f>D39*0.57</f>
        <v>#REF!</v>
      </c>
      <c r="E40" s="350">
        <f>E39*0.57</f>
        <v>227429.99999999997</v>
      </c>
      <c r="F40" s="351">
        <f>F39*0.57</f>
        <v>230849.99999999997</v>
      </c>
      <c r="G40" s="352">
        <f t="shared" si="0"/>
        <v>3420</v>
      </c>
      <c r="H40" s="2"/>
    </row>
    <row r="41" spans="1:8" x14ac:dyDescent="0.2">
      <c r="A41" s="347"/>
      <c r="B41" s="348" t="s">
        <v>99</v>
      </c>
      <c r="C41" s="353">
        <v>0.23</v>
      </c>
      <c r="D41" s="187" t="e">
        <f>D39*0.23</f>
        <v>#REF!</v>
      </c>
      <c r="E41" s="350">
        <f>E39*0.23</f>
        <v>91770</v>
      </c>
      <c r="F41" s="351">
        <f>F39*0.23</f>
        <v>93150</v>
      </c>
      <c r="G41" s="352">
        <f t="shared" si="0"/>
        <v>1380</v>
      </c>
      <c r="H41" s="2"/>
    </row>
    <row r="42" spans="1:8" x14ac:dyDescent="0.2">
      <c r="A42" s="347"/>
      <c r="B42" s="348" t="s">
        <v>100</v>
      </c>
      <c r="C42" s="353">
        <v>0.14000000000000001</v>
      </c>
      <c r="D42" s="187" t="e">
        <f>D39*0.14</f>
        <v>#REF!</v>
      </c>
      <c r="E42" s="350">
        <f>E39*0.14</f>
        <v>55860.000000000007</v>
      </c>
      <c r="F42" s="351">
        <f>F39*0.14</f>
        <v>56700.000000000007</v>
      </c>
      <c r="G42" s="352">
        <f t="shared" si="0"/>
        <v>840</v>
      </c>
      <c r="H42" s="2"/>
    </row>
    <row r="43" spans="1:8" x14ac:dyDescent="0.2">
      <c r="A43" s="347"/>
      <c r="B43" s="348" t="s">
        <v>152</v>
      </c>
      <c r="C43" s="353">
        <v>0.06</v>
      </c>
      <c r="D43" s="187" t="e">
        <f>D39*0.06</f>
        <v>#REF!</v>
      </c>
      <c r="E43" s="350">
        <f>E39*0.06</f>
        <v>23940</v>
      </c>
      <c r="F43" s="351">
        <f>F39*0.06</f>
        <v>24300</v>
      </c>
      <c r="G43" s="352">
        <f t="shared" si="0"/>
        <v>360</v>
      </c>
      <c r="H43" s="2"/>
    </row>
    <row r="44" spans="1:8" x14ac:dyDescent="0.2">
      <c r="A44" s="190"/>
      <c r="B44" s="361" t="s">
        <v>102</v>
      </c>
      <c r="C44" s="366"/>
      <c r="D44" s="84" t="e">
        <f>SUM(D40:D43)</f>
        <v>#REF!</v>
      </c>
      <c r="E44" s="363">
        <f>SUM(E40:E43)</f>
        <v>399000</v>
      </c>
      <c r="F44" s="364">
        <f>SUM(F40:F43)</f>
        <v>405000</v>
      </c>
      <c r="G44" s="365">
        <f t="shared" si="0"/>
        <v>6000</v>
      </c>
      <c r="H44" s="2"/>
    </row>
    <row r="45" spans="1:8" x14ac:dyDescent="0.2">
      <c r="A45" s="340"/>
      <c r="B45" s="341" t="s">
        <v>180</v>
      </c>
      <c r="C45" s="342"/>
      <c r="D45" s="367"/>
      <c r="E45" s="374"/>
      <c r="F45" s="375"/>
      <c r="G45" s="376">
        <f t="shared" si="0"/>
        <v>0</v>
      </c>
    </row>
    <row r="46" spans="1:8" x14ac:dyDescent="0.2">
      <c r="A46" s="347"/>
      <c r="B46" s="348" t="s">
        <v>98</v>
      </c>
      <c r="C46" s="349"/>
      <c r="D46" s="187" t="e">
        <f>D19+D40+D9</f>
        <v>#REF!</v>
      </c>
      <c r="E46" s="350">
        <f>E19+E40+E9</f>
        <v>5258250.43</v>
      </c>
      <c r="F46" s="351">
        <f>F19+F40+F9</f>
        <v>5847060.4299999997</v>
      </c>
      <c r="G46" s="352">
        <f t="shared" si="0"/>
        <v>588810</v>
      </c>
    </row>
    <row r="47" spans="1:8" x14ac:dyDescent="0.2">
      <c r="A47" s="347"/>
      <c r="B47" s="348" t="s">
        <v>99</v>
      </c>
      <c r="C47" s="349"/>
      <c r="D47" s="187" t="e">
        <f t="shared" ref="D47:F49" si="1">D10+D20+D41</f>
        <v>#REF!</v>
      </c>
      <c r="E47" s="350">
        <f>E10+E20+E41</f>
        <v>2121749.77</v>
      </c>
      <c r="F47" s="351">
        <f t="shared" si="1"/>
        <v>2359339.77</v>
      </c>
      <c r="G47" s="352">
        <f t="shared" si="0"/>
        <v>237590</v>
      </c>
    </row>
    <row r="48" spans="1:8" x14ac:dyDescent="0.2">
      <c r="A48" s="347"/>
      <c r="B48" s="348" t="s">
        <v>100</v>
      </c>
      <c r="C48" s="349"/>
      <c r="D48" s="187" t="e">
        <f t="shared" si="1"/>
        <v>#REF!</v>
      </c>
      <c r="E48" s="350">
        <f>E11+E21+E42</f>
        <v>1291500</v>
      </c>
      <c r="F48" s="351">
        <f t="shared" si="1"/>
        <v>1436120</v>
      </c>
      <c r="G48" s="352">
        <f t="shared" si="0"/>
        <v>144620</v>
      </c>
    </row>
    <row r="49" spans="1:9" x14ac:dyDescent="0.2">
      <c r="A49" s="354"/>
      <c r="B49" s="355" t="s">
        <v>152</v>
      </c>
      <c r="C49" s="377"/>
      <c r="D49" s="134" t="e">
        <f t="shared" si="1"/>
        <v>#REF!</v>
      </c>
      <c r="E49" s="357">
        <f>E12+E22+E43</f>
        <v>553500</v>
      </c>
      <c r="F49" s="358">
        <f t="shared" si="1"/>
        <v>615480</v>
      </c>
      <c r="G49" s="359">
        <f t="shared" si="0"/>
        <v>61980</v>
      </c>
    </row>
    <row r="50" spans="1:9" ht="12" thickBot="1" x14ac:dyDescent="0.25">
      <c r="A50" s="378"/>
      <c r="B50" s="379" t="s">
        <v>102</v>
      </c>
      <c r="C50" s="380"/>
      <c r="D50" s="381" t="e">
        <f>SUM(D46:D49)</f>
        <v>#REF!</v>
      </c>
      <c r="E50" s="382">
        <f>SUM(E46:E49)</f>
        <v>9225000.1999999993</v>
      </c>
      <c r="F50" s="383">
        <f>SUM(F46:F49)</f>
        <v>10258000.199999999</v>
      </c>
      <c r="G50" s="384">
        <f t="shared" si="0"/>
        <v>1033000</v>
      </c>
    </row>
    <row r="51" spans="1:9" x14ac:dyDescent="0.2">
      <c r="B51" s="1" t="s">
        <v>181</v>
      </c>
    </row>
    <row r="52" spans="1:9" x14ac:dyDescent="0.2">
      <c r="B52" s="327" t="s">
        <v>182</v>
      </c>
      <c r="C52" s="327"/>
      <c r="D52" s="327"/>
      <c r="E52" s="327"/>
      <c r="F52" s="327"/>
      <c r="G52" s="327"/>
    </row>
    <row r="53" spans="1:9" x14ac:dyDescent="0.2">
      <c r="B53" s="385" t="s">
        <v>183</v>
      </c>
      <c r="E53" s="386">
        <f>E46-E9</f>
        <v>2857124.4299999997</v>
      </c>
      <c r="F53" s="386">
        <f>F46-F9</f>
        <v>3445934.4299999997</v>
      </c>
      <c r="G53" s="386">
        <f>F53-E53</f>
        <v>588810</v>
      </c>
    </row>
    <row r="54" spans="1:9" x14ac:dyDescent="0.2">
      <c r="B54" s="387" t="s">
        <v>184</v>
      </c>
      <c r="D54" s="2" t="e">
        <f>D20+D41</f>
        <v>#REF!</v>
      </c>
      <c r="E54" s="262">
        <f>E20+E41</f>
        <v>1152874.77</v>
      </c>
      <c r="F54" s="262">
        <f>F20+F41</f>
        <v>1390464.77</v>
      </c>
      <c r="G54" s="262">
        <f>F54-E54</f>
        <v>237590</v>
      </c>
      <c r="H54" s="3"/>
    </row>
    <row r="55" spans="1:9" x14ac:dyDescent="0.2">
      <c r="B55" s="388" t="s">
        <v>185</v>
      </c>
      <c r="C55" s="389"/>
      <c r="D55" s="390"/>
      <c r="E55" s="391">
        <f>E48-E11</f>
        <v>701749.86</v>
      </c>
      <c r="F55" s="391">
        <f>F48-F11</f>
        <v>846369.86</v>
      </c>
      <c r="G55" s="391">
        <f>F55-E55</f>
        <v>144620</v>
      </c>
    </row>
    <row r="56" spans="1:9" x14ac:dyDescent="0.2">
      <c r="B56" s="392" t="s">
        <v>186</v>
      </c>
      <c r="C56" s="393"/>
      <c r="D56" s="286"/>
      <c r="E56" s="287">
        <f>E49-E12</f>
        <v>300749.94</v>
      </c>
      <c r="F56" s="287">
        <f>F49-F12</f>
        <v>362729.94</v>
      </c>
      <c r="G56" s="287">
        <f>F56-E56</f>
        <v>61980</v>
      </c>
    </row>
    <row r="57" spans="1:9" x14ac:dyDescent="0.2">
      <c r="B57" s="394"/>
      <c r="C57" s="394"/>
      <c r="D57" s="394"/>
      <c r="E57" s="74">
        <f>SUM(E53:E56)</f>
        <v>5012499</v>
      </c>
      <c r="F57" s="395">
        <f>SUM(F53:F56)</f>
        <v>6045499</v>
      </c>
      <c r="G57" s="396">
        <f>SUM(G53:G56)</f>
        <v>1033000</v>
      </c>
    </row>
    <row r="58" spans="1:9" x14ac:dyDescent="0.2">
      <c r="D58" s="3"/>
      <c r="E58" s="3"/>
    </row>
    <row r="59" spans="1:9" x14ac:dyDescent="0.2">
      <c r="E59" s="2"/>
    </row>
    <row r="60" spans="1:9" x14ac:dyDescent="0.2">
      <c r="E60" s="2"/>
    </row>
    <row r="61" spans="1:9" x14ac:dyDescent="0.2">
      <c r="E61" s="2"/>
    </row>
    <row r="62" spans="1:9" x14ac:dyDescent="0.2">
      <c r="E62" s="268"/>
      <c r="F62" s="4"/>
      <c r="G62" s="4"/>
    </row>
    <row r="63" spans="1:9" x14ac:dyDescent="0.2">
      <c r="B63" s="327"/>
      <c r="C63" s="327"/>
      <c r="D63" s="327"/>
      <c r="E63" s="327"/>
      <c r="F63" s="327"/>
      <c r="G63" s="327"/>
    </row>
    <row r="64" spans="1:9" x14ac:dyDescent="0.2">
      <c r="B64" s="385"/>
      <c r="E64" s="386"/>
      <c r="F64" s="386"/>
      <c r="G64" s="386"/>
      <c r="I64" s="6"/>
    </row>
    <row r="65" spans="2:9" x14ac:dyDescent="0.2">
      <c r="B65" s="387"/>
      <c r="D65" s="2"/>
      <c r="E65" s="262"/>
      <c r="F65" s="262"/>
      <c r="G65" s="262"/>
      <c r="I65" s="6"/>
    </row>
    <row r="66" spans="2:9" x14ac:dyDescent="0.2">
      <c r="B66" s="388"/>
      <c r="C66" s="389"/>
      <c r="D66" s="390"/>
      <c r="E66" s="391"/>
      <c r="F66" s="391"/>
      <c r="G66" s="391"/>
      <c r="I66" s="6"/>
    </row>
    <row r="67" spans="2:9" x14ac:dyDescent="0.2">
      <c r="B67" s="392"/>
      <c r="C67" s="393"/>
      <c r="D67" s="286"/>
      <c r="E67" s="287"/>
      <c r="F67" s="287"/>
      <c r="G67" s="287"/>
      <c r="I67" s="6"/>
    </row>
    <row r="68" spans="2:9" hidden="1" x14ac:dyDescent="0.2">
      <c r="B68" s="394"/>
      <c r="C68" s="394"/>
      <c r="D68" s="394"/>
      <c r="E68" s="74"/>
      <c r="F68" s="395"/>
      <c r="G68" s="396"/>
      <c r="I68" s="27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9BF0-09EE-44ED-A6A1-25EF8A9F2983}">
  <sheetPr>
    <tabColor theme="4" tint="0.59999389629810485"/>
    <pageSetUpPr fitToPage="1"/>
  </sheetPr>
  <dimension ref="A1:G66"/>
  <sheetViews>
    <sheetView topLeftCell="A16" workbookViewId="0">
      <selection activeCell="F57" sqref="F57"/>
    </sheetView>
  </sheetViews>
  <sheetFormatPr defaultRowHeight="11.25" x14ac:dyDescent="0.2"/>
  <cols>
    <col min="1" max="1" width="4.85546875" style="326" customWidth="1"/>
    <col min="2" max="2" width="43.5703125" style="1" customWidth="1"/>
    <col min="3" max="3" width="6.7109375" style="326" customWidth="1"/>
    <col min="4" max="4" width="12.5703125" style="1" customWidth="1"/>
    <col min="5" max="5" width="11.42578125" style="1" customWidth="1"/>
    <col min="6" max="6" width="10.5703125" style="1" customWidth="1"/>
    <col min="7" max="256" width="9.140625" style="1"/>
    <col min="257" max="257" width="4.85546875" style="1" customWidth="1"/>
    <col min="258" max="258" width="43.5703125" style="1" customWidth="1"/>
    <col min="259" max="259" width="6.7109375" style="1" customWidth="1"/>
    <col min="260" max="260" width="12.5703125" style="1" customWidth="1"/>
    <col min="261" max="261" width="11.42578125" style="1" customWidth="1"/>
    <col min="262" max="262" width="10.5703125" style="1" customWidth="1"/>
    <col min="263" max="512" width="9.140625" style="1"/>
    <col min="513" max="513" width="4.85546875" style="1" customWidth="1"/>
    <col min="514" max="514" width="43.5703125" style="1" customWidth="1"/>
    <col min="515" max="515" width="6.7109375" style="1" customWidth="1"/>
    <col min="516" max="516" width="12.5703125" style="1" customWidth="1"/>
    <col min="517" max="517" width="11.42578125" style="1" customWidth="1"/>
    <col min="518" max="518" width="10.5703125" style="1" customWidth="1"/>
    <col min="519" max="768" width="9.140625" style="1"/>
    <col min="769" max="769" width="4.85546875" style="1" customWidth="1"/>
    <col min="770" max="770" width="43.5703125" style="1" customWidth="1"/>
    <col min="771" max="771" width="6.7109375" style="1" customWidth="1"/>
    <col min="772" max="772" width="12.5703125" style="1" customWidth="1"/>
    <col min="773" max="773" width="11.42578125" style="1" customWidth="1"/>
    <col min="774" max="774" width="10.5703125" style="1" customWidth="1"/>
    <col min="775" max="1024" width="9.140625" style="1"/>
    <col min="1025" max="1025" width="4.85546875" style="1" customWidth="1"/>
    <col min="1026" max="1026" width="43.5703125" style="1" customWidth="1"/>
    <col min="1027" max="1027" width="6.7109375" style="1" customWidth="1"/>
    <col min="1028" max="1028" width="12.5703125" style="1" customWidth="1"/>
    <col min="1029" max="1029" width="11.42578125" style="1" customWidth="1"/>
    <col min="1030" max="1030" width="10.5703125" style="1" customWidth="1"/>
    <col min="1031" max="1280" width="9.140625" style="1"/>
    <col min="1281" max="1281" width="4.85546875" style="1" customWidth="1"/>
    <col min="1282" max="1282" width="43.5703125" style="1" customWidth="1"/>
    <col min="1283" max="1283" width="6.7109375" style="1" customWidth="1"/>
    <col min="1284" max="1284" width="12.5703125" style="1" customWidth="1"/>
    <col min="1285" max="1285" width="11.42578125" style="1" customWidth="1"/>
    <col min="1286" max="1286" width="10.5703125" style="1" customWidth="1"/>
    <col min="1287" max="1536" width="9.140625" style="1"/>
    <col min="1537" max="1537" width="4.85546875" style="1" customWidth="1"/>
    <col min="1538" max="1538" width="43.5703125" style="1" customWidth="1"/>
    <col min="1539" max="1539" width="6.7109375" style="1" customWidth="1"/>
    <col min="1540" max="1540" width="12.5703125" style="1" customWidth="1"/>
    <col min="1541" max="1541" width="11.42578125" style="1" customWidth="1"/>
    <col min="1542" max="1542" width="10.5703125" style="1" customWidth="1"/>
    <col min="1543" max="1792" width="9.140625" style="1"/>
    <col min="1793" max="1793" width="4.85546875" style="1" customWidth="1"/>
    <col min="1794" max="1794" width="43.5703125" style="1" customWidth="1"/>
    <col min="1795" max="1795" width="6.7109375" style="1" customWidth="1"/>
    <col min="1796" max="1796" width="12.5703125" style="1" customWidth="1"/>
    <col min="1797" max="1797" width="11.42578125" style="1" customWidth="1"/>
    <col min="1798" max="1798" width="10.5703125" style="1" customWidth="1"/>
    <col min="1799" max="2048" width="9.140625" style="1"/>
    <col min="2049" max="2049" width="4.85546875" style="1" customWidth="1"/>
    <col min="2050" max="2050" width="43.5703125" style="1" customWidth="1"/>
    <col min="2051" max="2051" width="6.7109375" style="1" customWidth="1"/>
    <col min="2052" max="2052" width="12.5703125" style="1" customWidth="1"/>
    <col min="2053" max="2053" width="11.42578125" style="1" customWidth="1"/>
    <col min="2054" max="2054" width="10.5703125" style="1" customWidth="1"/>
    <col min="2055" max="2304" width="9.140625" style="1"/>
    <col min="2305" max="2305" width="4.85546875" style="1" customWidth="1"/>
    <col min="2306" max="2306" width="43.5703125" style="1" customWidth="1"/>
    <col min="2307" max="2307" width="6.7109375" style="1" customWidth="1"/>
    <col min="2308" max="2308" width="12.5703125" style="1" customWidth="1"/>
    <col min="2309" max="2309" width="11.42578125" style="1" customWidth="1"/>
    <col min="2310" max="2310" width="10.5703125" style="1" customWidth="1"/>
    <col min="2311" max="2560" width="9.140625" style="1"/>
    <col min="2561" max="2561" width="4.85546875" style="1" customWidth="1"/>
    <col min="2562" max="2562" width="43.5703125" style="1" customWidth="1"/>
    <col min="2563" max="2563" width="6.7109375" style="1" customWidth="1"/>
    <col min="2564" max="2564" width="12.5703125" style="1" customWidth="1"/>
    <col min="2565" max="2565" width="11.42578125" style="1" customWidth="1"/>
    <col min="2566" max="2566" width="10.5703125" style="1" customWidth="1"/>
    <col min="2567" max="2816" width="9.140625" style="1"/>
    <col min="2817" max="2817" width="4.85546875" style="1" customWidth="1"/>
    <col min="2818" max="2818" width="43.5703125" style="1" customWidth="1"/>
    <col min="2819" max="2819" width="6.7109375" style="1" customWidth="1"/>
    <col min="2820" max="2820" width="12.5703125" style="1" customWidth="1"/>
    <col min="2821" max="2821" width="11.42578125" style="1" customWidth="1"/>
    <col min="2822" max="2822" width="10.5703125" style="1" customWidth="1"/>
    <col min="2823" max="3072" width="9.140625" style="1"/>
    <col min="3073" max="3073" width="4.85546875" style="1" customWidth="1"/>
    <col min="3074" max="3074" width="43.5703125" style="1" customWidth="1"/>
    <col min="3075" max="3075" width="6.7109375" style="1" customWidth="1"/>
    <col min="3076" max="3076" width="12.5703125" style="1" customWidth="1"/>
    <col min="3077" max="3077" width="11.42578125" style="1" customWidth="1"/>
    <col min="3078" max="3078" width="10.5703125" style="1" customWidth="1"/>
    <col min="3079" max="3328" width="9.140625" style="1"/>
    <col min="3329" max="3329" width="4.85546875" style="1" customWidth="1"/>
    <col min="3330" max="3330" width="43.5703125" style="1" customWidth="1"/>
    <col min="3331" max="3331" width="6.7109375" style="1" customWidth="1"/>
    <col min="3332" max="3332" width="12.5703125" style="1" customWidth="1"/>
    <col min="3333" max="3333" width="11.42578125" style="1" customWidth="1"/>
    <col min="3334" max="3334" width="10.5703125" style="1" customWidth="1"/>
    <col min="3335" max="3584" width="9.140625" style="1"/>
    <col min="3585" max="3585" width="4.85546875" style="1" customWidth="1"/>
    <col min="3586" max="3586" width="43.5703125" style="1" customWidth="1"/>
    <col min="3587" max="3587" width="6.7109375" style="1" customWidth="1"/>
    <col min="3588" max="3588" width="12.5703125" style="1" customWidth="1"/>
    <col min="3589" max="3589" width="11.42578125" style="1" customWidth="1"/>
    <col min="3590" max="3590" width="10.5703125" style="1" customWidth="1"/>
    <col min="3591" max="3840" width="9.140625" style="1"/>
    <col min="3841" max="3841" width="4.85546875" style="1" customWidth="1"/>
    <col min="3842" max="3842" width="43.5703125" style="1" customWidth="1"/>
    <col min="3843" max="3843" width="6.7109375" style="1" customWidth="1"/>
    <col min="3844" max="3844" width="12.5703125" style="1" customWidth="1"/>
    <col min="3845" max="3845" width="11.42578125" style="1" customWidth="1"/>
    <col min="3846" max="3846" width="10.5703125" style="1" customWidth="1"/>
    <col min="3847" max="4096" width="9.140625" style="1"/>
    <col min="4097" max="4097" width="4.85546875" style="1" customWidth="1"/>
    <col min="4098" max="4098" width="43.5703125" style="1" customWidth="1"/>
    <col min="4099" max="4099" width="6.7109375" style="1" customWidth="1"/>
    <col min="4100" max="4100" width="12.5703125" style="1" customWidth="1"/>
    <col min="4101" max="4101" width="11.42578125" style="1" customWidth="1"/>
    <col min="4102" max="4102" width="10.5703125" style="1" customWidth="1"/>
    <col min="4103" max="4352" width="9.140625" style="1"/>
    <col min="4353" max="4353" width="4.85546875" style="1" customWidth="1"/>
    <col min="4354" max="4354" width="43.5703125" style="1" customWidth="1"/>
    <col min="4355" max="4355" width="6.7109375" style="1" customWidth="1"/>
    <col min="4356" max="4356" width="12.5703125" style="1" customWidth="1"/>
    <col min="4357" max="4357" width="11.42578125" style="1" customWidth="1"/>
    <col min="4358" max="4358" width="10.5703125" style="1" customWidth="1"/>
    <col min="4359" max="4608" width="9.140625" style="1"/>
    <col min="4609" max="4609" width="4.85546875" style="1" customWidth="1"/>
    <col min="4610" max="4610" width="43.5703125" style="1" customWidth="1"/>
    <col min="4611" max="4611" width="6.7109375" style="1" customWidth="1"/>
    <col min="4612" max="4612" width="12.5703125" style="1" customWidth="1"/>
    <col min="4613" max="4613" width="11.42578125" style="1" customWidth="1"/>
    <col min="4614" max="4614" width="10.5703125" style="1" customWidth="1"/>
    <col min="4615" max="4864" width="9.140625" style="1"/>
    <col min="4865" max="4865" width="4.85546875" style="1" customWidth="1"/>
    <col min="4866" max="4866" width="43.5703125" style="1" customWidth="1"/>
    <col min="4867" max="4867" width="6.7109375" style="1" customWidth="1"/>
    <col min="4868" max="4868" width="12.5703125" style="1" customWidth="1"/>
    <col min="4869" max="4869" width="11.42578125" style="1" customWidth="1"/>
    <col min="4870" max="4870" width="10.5703125" style="1" customWidth="1"/>
    <col min="4871" max="5120" width="9.140625" style="1"/>
    <col min="5121" max="5121" width="4.85546875" style="1" customWidth="1"/>
    <col min="5122" max="5122" width="43.5703125" style="1" customWidth="1"/>
    <col min="5123" max="5123" width="6.7109375" style="1" customWidth="1"/>
    <col min="5124" max="5124" width="12.5703125" style="1" customWidth="1"/>
    <col min="5125" max="5125" width="11.42578125" style="1" customWidth="1"/>
    <col min="5126" max="5126" width="10.5703125" style="1" customWidth="1"/>
    <col min="5127" max="5376" width="9.140625" style="1"/>
    <col min="5377" max="5377" width="4.85546875" style="1" customWidth="1"/>
    <col min="5378" max="5378" width="43.5703125" style="1" customWidth="1"/>
    <col min="5379" max="5379" width="6.7109375" style="1" customWidth="1"/>
    <col min="5380" max="5380" width="12.5703125" style="1" customWidth="1"/>
    <col min="5381" max="5381" width="11.42578125" style="1" customWidth="1"/>
    <col min="5382" max="5382" width="10.5703125" style="1" customWidth="1"/>
    <col min="5383" max="5632" width="9.140625" style="1"/>
    <col min="5633" max="5633" width="4.85546875" style="1" customWidth="1"/>
    <col min="5634" max="5634" width="43.5703125" style="1" customWidth="1"/>
    <col min="5635" max="5635" width="6.7109375" style="1" customWidth="1"/>
    <col min="5636" max="5636" width="12.5703125" style="1" customWidth="1"/>
    <col min="5637" max="5637" width="11.42578125" style="1" customWidth="1"/>
    <col min="5638" max="5638" width="10.5703125" style="1" customWidth="1"/>
    <col min="5639" max="5888" width="9.140625" style="1"/>
    <col min="5889" max="5889" width="4.85546875" style="1" customWidth="1"/>
    <col min="5890" max="5890" width="43.5703125" style="1" customWidth="1"/>
    <col min="5891" max="5891" width="6.7109375" style="1" customWidth="1"/>
    <col min="5892" max="5892" width="12.5703125" style="1" customWidth="1"/>
    <col min="5893" max="5893" width="11.42578125" style="1" customWidth="1"/>
    <col min="5894" max="5894" width="10.5703125" style="1" customWidth="1"/>
    <col min="5895" max="6144" width="9.140625" style="1"/>
    <col min="6145" max="6145" width="4.85546875" style="1" customWidth="1"/>
    <col min="6146" max="6146" width="43.5703125" style="1" customWidth="1"/>
    <col min="6147" max="6147" width="6.7109375" style="1" customWidth="1"/>
    <col min="6148" max="6148" width="12.5703125" style="1" customWidth="1"/>
    <col min="6149" max="6149" width="11.42578125" style="1" customWidth="1"/>
    <col min="6150" max="6150" width="10.5703125" style="1" customWidth="1"/>
    <col min="6151" max="6400" width="9.140625" style="1"/>
    <col min="6401" max="6401" width="4.85546875" style="1" customWidth="1"/>
    <col min="6402" max="6402" width="43.5703125" style="1" customWidth="1"/>
    <col min="6403" max="6403" width="6.7109375" style="1" customWidth="1"/>
    <col min="6404" max="6404" width="12.5703125" style="1" customWidth="1"/>
    <col min="6405" max="6405" width="11.42578125" style="1" customWidth="1"/>
    <col min="6406" max="6406" width="10.5703125" style="1" customWidth="1"/>
    <col min="6407" max="6656" width="9.140625" style="1"/>
    <col min="6657" max="6657" width="4.85546875" style="1" customWidth="1"/>
    <col min="6658" max="6658" width="43.5703125" style="1" customWidth="1"/>
    <col min="6659" max="6659" width="6.7109375" style="1" customWidth="1"/>
    <col min="6660" max="6660" width="12.5703125" style="1" customWidth="1"/>
    <col min="6661" max="6661" width="11.42578125" style="1" customWidth="1"/>
    <col min="6662" max="6662" width="10.5703125" style="1" customWidth="1"/>
    <col min="6663" max="6912" width="9.140625" style="1"/>
    <col min="6913" max="6913" width="4.85546875" style="1" customWidth="1"/>
    <col min="6914" max="6914" width="43.5703125" style="1" customWidth="1"/>
    <col min="6915" max="6915" width="6.7109375" style="1" customWidth="1"/>
    <col min="6916" max="6916" width="12.5703125" style="1" customWidth="1"/>
    <col min="6917" max="6917" width="11.42578125" style="1" customWidth="1"/>
    <col min="6918" max="6918" width="10.5703125" style="1" customWidth="1"/>
    <col min="6919" max="7168" width="9.140625" style="1"/>
    <col min="7169" max="7169" width="4.85546875" style="1" customWidth="1"/>
    <col min="7170" max="7170" width="43.5703125" style="1" customWidth="1"/>
    <col min="7171" max="7171" width="6.7109375" style="1" customWidth="1"/>
    <col min="7172" max="7172" width="12.5703125" style="1" customWidth="1"/>
    <col min="7173" max="7173" width="11.42578125" style="1" customWidth="1"/>
    <col min="7174" max="7174" width="10.5703125" style="1" customWidth="1"/>
    <col min="7175" max="7424" width="9.140625" style="1"/>
    <col min="7425" max="7425" width="4.85546875" style="1" customWidth="1"/>
    <col min="7426" max="7426" width="43.5703125" style="1" customWidth="1"/>
    <col min="7427" max="7427" width="6.7109375" style="1" customWidth="1"/>
    <col min="7428" max="7428" width="12.5703125" style="1" customWidth="1"/>
    <col min="7429" max="7429" width="11.42578125" style="1" customWidth="1"/>
    <col min="7430" max="7430" width="10.5703125" style="1" customWidth="1"/>
    <col min="7431" max="7680" width="9.140625" style="1"/>
    <col min="7681" max="7681" width="4.85546875" style="1" customWidth="1"/>
    <col min="7682" max="7682" width="43.5703125" style="1" customWidth="1"/>
    <col min="7683" max="7683" width="6.7109375" style="1" customWidth="1"/>
    <col min="7684" max="7684" width="12.5703125" style="1" customWidth="1"/>
    <col min="7685" max="7685" width="11.42578125" style="1" customWidth="1"/>
    <col min="7686" max="7686" width="10.5703125" style="1" customWidth="1"/>
    <col min="7687" max="7936" width="9.140625" style="1"/>
    <col min="7937" max="7937" width="4.85546875" style="1" customWidth="1"/>
    <col min="7938" max="7938" width="43.5703125" style="1" customWidth="1"/>
    <col min="7939" max="7939" width="6.7109375" style="1" customWidth="1"/>
    <col min="7940" max="7940" width="12.5703125" style="1" customWidth="1"/>
    <col min="7941" max="7941" width="11.42578125" style="1" customWidth="1"/>
    <col min="7942" max="7942" width="10.5703125" style="1" customWidth="1"/>
    <col min="7943" max="8192" width="9.140625" style="1"/>
    <col min="8193" max="8193" width="4.85546875" style="1" customWidth="1"/>
    <col min="8194" max="8194" width="43.5703125" style="1" customWidth="1"/>
    <col min="8195" max="8195" width="6.7109375" style="1" customWidth="1"/>
    <col min="8196" max="8196" width="12.5703125" style="1" customWidth="1"/>
    <col min="8197" max="8197" width="11.42578125" style="1" customWidth="1"/>
    <col min="8198" max="8198" width="10.5703125" style="1" customWidth="1"/>
    <col min="8199" max="8448" width="9.140625" style="1"/>
    <col min="8449" max="8449" width="4.85546875" style="1" customWidth="1"/>
    <col min="8450" max="8450" width="43.5703125" style="1" customWidth="1"/>
    <col min="8451" max="8451" width="6.7109375" style="1" customWidth="1"/>
    <col min="8452" max="8452" width="12.5703125" style="1" customWidth="1"/>
    <col min="8453" max="8453" width="11.42578125" style="1" customWidth="1"/>
    <col min="8454" max="8454" width="10.5703125" style="1" customWidth="1"/>
    <col min="8455" max="8704" width="9.140625" style="1"/>
    <col min="8705" max="8705" width="4.85546875" style="1" customWidth="1"/>
    <col min="8706" max="8706" width="43.5703125" style="1" customWidth="1"/>
    <col min="8707" max="8707" width="6.7109375" style="1" customWidth="1"/>
    <col min="8708" max="8708" width="12.5703125" style="1" customWidth="1"/>
    <col min="8709" max="8709" width="11.42578125" style="1" customWidth="1"/>
    <col min="8710" max="8710" width="10.5703125" style="1" customWidth="1"/>
    <col min="8711" max="8960" width="9.140625" style="1"/>
    <col min="8961" max="8961" width="4.85546875" style="1" customWidth="1"/>
    <col min="8962" max="8962" width="43.5703125" style="1" customWidth="1"/>
    <col min="8963" max="8963" width="6.7109375" style="1" customWidth="1"/>
    <col min="8964" max="8964" width="12.5703125" style="1" customWidth="1"/>
    <col min="8965" max="8965" width="11.42578125" style="1" customWidth="1"/>
    <col min="8966" max="8966" width="10.5703125" style="1" customWidth="1"/>
    <col min="8967" max="9216" width="9.140625" style="1"/>
    <col min="9217" max="9217" width="4.85546875" style="1" customWidth="1"/>
    <col min="9218" max="9218" width="43.5703125" style="1" customWidth="1"/>
    <col min="9219" max="9219" width="6.7109375" style="1" customWidth="1"/>
    <col min="9220" max="9220" width="12.5703125" style="1" customWidth="1"/>
    <col min="9221" max="9221" width="11.42578125" style="1" customWidth="1"/>
    <col min="9222" max="9222" width="10.5703125" style="1" customWidth="1"/>
    <col min="9223" max="9472" width="9.140625" style="1"/>
    <col min="9473" max="9473" width="4.85546875" style="1" customWidth="1"/>
    <col min="9474" max="9474" width="43.5703125" style="1" customWidth="1"/>
    <col min="9475" max="9475" width="6.7109375" style="1" customWidth="1"/>
    <col min="9476" max="9476" width="12.5703125" style="1" customWidth="1"/>
    <col min="9477" max="9477" width="11.42578125" style="1" customWidth="1"/>
    <col min="9478" max="9478" width="10.5703125" style="1" customWidth="1"/>
    <col min="9479" max="9728" width="9.140625" style="1"/>
    <col min="9729" max="9729" width="4.85546875" style="1" customWidth="1"/>
    <col min="9730" max="9730" width="43.5703125" style="1" customWidth="1"/>
    <col min="9731" max="9731" width="6.7109375" style="1" customWidth="1"/>
    <col min="9732" max="9732" width="12.5703125" style="1" customWidth="1"/>
    <col min="9733" max="9733" width="11.42578125" style="1" customWidth="1"/>
    <col min="9734" max="9734" width="10.5703125" style="1" customWidth="1"/>
    <col min="9735" max="9984" width="9.140625" style="1"/>
    <col min="9985" max="9985" width="4.85546875" style="1" customWidth="1"/>
    <col min="9986" max="9986" width="43.5703125" style="1" customWidth="1"/>
    <col min="9987" max="9987" width="6.7109375" style="1" customWidth="1"/>
    <col min="9988" max="9988" width="12.5703125" style="1" customWidth="1"/>
    <col min="9989" max="9989" width="11.42578125" style="1" customWidth="1"/>
    <col min="9990" max="9990" width="10.5703125" style="1" customWidth="1"/>
    <col min="9991" max="10240" width="9.140625" style="1"/>
    <col min="10241" max="10241" width="4.85546875" style="1" customWidth="1"/>
    <col min="10242" max="10242" width="43.5703125" style="1" customWidth="1"/>
    <col min="10243" max="10243" width="6.7109375" style="1" customWidth="1"/>
    <col min="10244" max="10244" width="12.5703125" style="1" customWidth="1"/>
    <col min="10245" max="10245" width="11.42578125" style="1" customWidth="1"/>
    <col min="10246" max="10246" width="10.5703125" style="1" customWidth="1"/>
    <col min="10247" max="10496" width="9.140625" style="1"/>
    <col min="10497" max="10497" width="4.85546875" style="1" customWidth="1"/>
    <col min="10498" max="10498" width="43.5703125" style="1" customWidth="1"/>
    <col min="10499" max="10499" width="6.7109375" style="1" customWidth="1"/>
    <col min="10500" max="10500" width="12.5703125" style="1" customWidth="1"/>
    <col min="10501" max="10501" width="11.42578125" style="1" customWidth="1"/>
    <col min="10502" max="10502" width="10.5703125" style="1" customWidth="1"/>
    <col min="10503" max="10752" width="9.140625" style="1"/>
    <col min="10753" max="10753" width="4.85546875" style="1" customWidth="1"/>
    <col min="10754" max="10754" width="43.5703125" style="1" customWidth="1"/>
    <col min="10755" max="10755" width="6.7109375" style="1" customWidth="1"/>
    <col min="10756" max="10756" width="12.5703125" style="1" customWidth="1"/>
    <col min="10757" max="10757" width="11.42578125" style="1" customWidth="1"/>
    <col min="10758" max="10758" width="10.5703125" style="1" customWidth="1"/>
    <col min="10759" max="11008" width="9.140625" style="1"/>
    <col min="11009" max="11009" width="4.85546875" style="1" customWidth="1"/>
    <col min="11010" max="11010" width="43.5703125" style="1" customWidth="1"/>
    <col min="11011" max="11011" width="6.7109375" style="1" customWidth="1"/>
    <col min="11012" max="11012" width="12.5703125" style="1" customWidth="1"/>
    <col min="11013" max="11013" width="11.42578125" style="1" customWidth="1"/>
    <col min="11014" max="11014" width="10.5703125" style="1" customWidth="1"/>
    <col min="11015" max="11264" width="9.140625" style="1"/>
    <col min="11265" max="11265" width="4.85546875" style="1" customWidth="1"/>
    <col min="11266" max="11266" width="43.5703125" style="1" customWidth="1"/>
    <col min="11267" max="11267" width="6.7109375" style="1" customWidth="1"/>
    <col min="11268" max="11268" width="12.5703125" style="1" customWidth="1"/>
    <col min="11269" max="11269" width="11.42578125" style="1" customWidth="1"/>
    <col min="11270" max="11270" width="10.5703125" style="1" customWidth="1"/>
    <col min="11271" max="11520" width="9.140625" style="1"/>
    <col min="11521" max="11521" width="4.85546875" style="1" customWidth="1"/>
    <col min="11522" max="11522" width="43.5703125" style="1" customWidth="1"/>
    <col min="11523" max="11523" width="6.7109375" style="1" customWidth="1"/>
    <col min="11524" max="11524" width="12.5703125" style="1" customWidth="1"/>
    <col min="11525" max="11525" width="11.42578125" style="1" customWidth="1"/>
    <col min="11526" max="11526" width="10.5703125" style="1" customWidth="1"/>
    <col min="11527" max="11776" width="9.140625" style="1"/>
    <col min="11777" max="11777" width="4.85546875" style="1" customWidth="1"/>
    <col min="11778" max="11778" width="43.5703125" style="1" customWidth="1"/>
    <col min="11779" max="11779" width="6.7109375" style="1" customWidth="1"/>
    <col min="11780" max="11780" width="12.5703125" style="1" customWidth="1"/>
    <col min="11781" max="11781" width="11.42578125" style="1" customWidth="1"/>
    <col min="11782" max="11782" width="10.5703125" style="1" customWidth="1"/>
    <col min="11783" max="12032" width="9.140625" style="1"/>
    <col min="12033" max="12033" width="4.85546875" style="1" customWidth="1"/>
    <col min="12034" max="12034" width="43.5703125" style="1" customWidth="1"/>
    <col min="12035" max="12035" width="6.7109375" style="1" customWidth="1"/>
    <col min="12036" max="12036" width="12.5703125" style="1" customWidth="1"/>
    <col min="12037" max="12037" width="11.42578125" style="1" customWidth="1"/>
    <col min="12038" max="12038" width="10.5703125" style="1" customWidth="1"/>
    <col min="12039" max="12288" width="9.140625" style="1"/>
    <col min="12289" max="12289" width="4.85546875" style="1" customWidth="1"/>
    <col min="12290" max="12290" width="43.5703125" style="1" customWidth="1"/>
    <col min="12291" max="12291" width="6.7109375" style="1" customWidth="1"/>
    <col min="12292" max="12292" width="12.5703125" style="1" customWidth="1"/>
    <col min="12293" max="12293" width="11.42578125" style="1" customWidth="1"/>
    <col min="12294" max="12294" width="10.5703125" style="1" customWidth="1"/>
    <col min="12295" max="12544" width="9.140625" style="1"/>
    <col min="12545" max="12545" width="4.85546875" style="1" customWidth="1"/>
    <col min="12546" max="12546" width="43.5703125" style="1" customWidth="1"/>
    <col min="12547" max="12547" width="6.7109375" style="1" customWidth="1"/>
    <col min="12548" max="12548" width="12.5703125" style="1" customWidth="1"/>
    <col min="12549" max="12549" width="11.42578125" style="1" customWidth="1"/>
    <col min="12550" max="12550" width="10.5703125" style="1" customWidth="1"/>
    <col min="12551" max="12800" width="9.140625" style="1"/>
    <col min="12801" max="12801" width="4.85546875" style="1" customWidth="1"/>
    <col min="12802" max="12802" width="43.5703125" style="1" customWidth="1"/>
    <col min="12803" max="12803" width="6.7109375" style="1" customWidth="1"/>
    <col min="12804" max="12804" width="12.5703125" style="1" customWidth="1"/>
    <col min="12805" max="12805" width="11.42578125" style="1" customWidth="1"/>
    <col min="12806" max="12806" width="10.5703125" style="1" customWidth="1"/>
    <col min="12807" max="13056" width="9.140625" style="1"/>
    <col min="13057" max="13057" width="4.85546875" style="1" customWidth="1"/>
    <col min="13058" max="13058" width="43.5703125" style="1" customWidth="1"/>
    <col min="13059" max="13059" width="6.7109375" style="1" customWidth="1"/>
    <col min="13060" max="13060" width="12.5703125" style="1" customWidth="1"/>
    <col min="13061" max="13061" width="11.42578125" style="1" customWidth="1"/>
    <col min="13062" max="13062" width="10.5703125" style="1" customWidth="1"/>
    <col min="13063" max="13312" width="9.140625" style="1"/>
    <col min="13313" max="13313" width="4.85546875" style="1" customWidth="1"/>
    <col min="13314" max="13314" width="43.5703125" style="1" customWidth="1"/>
    <col min="13315" max="13315" width="6.7109375" style="1" customWidth="1"/>
    <col min="13316" max="13316" width="12.5703125" style="1" customWidth="1"/>
    <col min="13317" max="13317" width="11.42578125" style="1" customWidth="1"/>
    <col min="13318" max="13318" width="10.5703125" style="1" customWidth="1"/>
    <col min="13319" max="13568" width="9.140625" style="1"/>
    <col min="13569" max="13569" width="4.85546875" style="1" customWidth="1"/>
    <col min="13570" max="13570" width="43.5703125" style="1" customWidth="1"/>
    <col min="13571" max="13571" width="6.7109375" style="1" customWidth="1"/>
    <col min="13572" max="13572" width="12.5703125" style="1" customWidth="1"/>
    <col min="13573" max="13573" width="11.42578125" style="1" customWidth="1"/>
    <col min="13574" max="13574" width="10.5703125" style="1" customWidth="1"/>
    <col min="13575" max="13824" width="9.140625" style="1"/>
    <col min="13825" max="13825" width="4.85546875" style="1" customWidth="1"/>
    <col min="13826" max="13826" width="43.5703125" style="1" customWidth="1"/>
    <col min="13827" max="13827" width="6.7109375" style="1" customWidth="1"/>
    <col min="13828" max="13828" width="12.5703125" style="1" customWidth="1"/>
    <col min="13829" max="13829" width="11.42578125" style="1" customWidth="1"/>
    <col min="13830" max="13830" width="10.5703125" style="1" customWidth="1"/>
    <col min="13831" max="14080" width="9.140625" style="1"/>
    <col min="14081" max="14081" width="4.85546875" style="1" customWidth="1"/>
    <col min="14082" max="14082" width="43.5703125" style="1" customWidth="1"/>
    <col min="14083" max="14083" width="6.7109375" style="1" customWidth="1"/>
    <col min="14084" max="14084" width="12.5703125" style="1" customWidth="1"/>
    <col min="14085" max="14085" width="11.42578125" style="1" customWidth="1"/>
    <col min="14086" max="14086" width="10.5703125" style="1" customWidth="1"/>
    <col min="14087" max="14336" width="9.140625" style="1"/>
    <col min="14337" max="14337" width="4.85546875" style="1" customWidth="1"/>
    <col min="14338" max="14338" width="43.5703125" style="1" customWidth="1"/>
    <col min="14339" max="14339" width="6.7109375" style="1" customWidth="1"/>
    <col min="14340" max="14340" width="12.5703125" style="1" customWidth="1"/>
    <col min="14341" max="14341" width="11.42578125" style="1" customWidth="1"/>
    <col min="14342" max="14342" width="10.5703125" style="1" customWidth="1"/>
    <col min="14343" max="14592" width="9.140625" style="1"/>
    <col min="14593" max="14593" width="4.85546875" style="1" customWidth="1"/>
    <col min="14594" max="14594" width="43.5703125" style="1" customWidth="1"/>
    <col min="14595" max="14595" width="6.7109375" style="1" customWidth="1"/>
    <col min="14596" max="14596" width="12.5703125" style="1" customWidth="1"/>
    <col min="14597" max="14597" width="11.42578125" style="1" customWidth="1"/>
    <col min="14598" max="14598" width="10.5703125" style="1" customWidth="1"/>
    <col min="14599" max="14848" width="9.140625" style="1"/>
    <col min="14849" max="14849" width="4.85546875" style="1" customWidth="1"/>
    <col min="14850" max="14850" width="43.5703125" style="1" customWidth="1"/>
    <col min="14851" max="14851" width="6.7109375" style="1" customWidth="1"/>
    <col min="14852" max="14852" width="12.5703125" style="1" customWidth="1"/>
    <col min="14853" max="14853" width="11.42578125" style="1" customWidth="1"/>
    <col min="14854" max="14854" width="10.5703125" style="1" customWidth="1"/>
    <col min="14855" max="15104" width="9.140625" style="1"/>
    <col min="15105" max="15105" width="4.85546875" style="1" customWidth="1"/>
    <col min="15106" max="15106" width="43.5703125" style="1" customWidth="1"/>
    <col min="15107" max="15107" width="6.7109375" style="1" customWidth="1"/>
    <col min="15108" max="15108" width="12.5703125" style="1" customWidth="1"/>
    <col min="15109" max="15109" width="11.42578125" style="1" customWidth="1"/>
    <col min="15110" max="15110" width="10.5703125" style="1" customWidth="1"/>
    <col min="15111" max="15360" width="9.140625" style="1"/>
    <col min="15361" max="15361" width="4.85546875" style="1" customWidth="1"/>
    <col min="15362" max="15362" width="43.5703125" style="1" customWidth="1"/>
    <col min="15363" max="15363" width="6.7109375" style="1" customWidth="1"/>
    <col min="15364" max="15364" width="12.5703125" style="1" customWidth="1"/>
    <col min="15365" max="15365" width="11.42578125" style="1" customWidth="1"/>
    <col min="15366" max="15366" width="10.5703125" style="1" customWidth="1"/>
    <col min="15367" max="15616" width="9.140625" style="1"/>
    <col min="15617" max="15617" width="4.85546875" style="1" customWidth="1"/>
    <col min="15618" max="15618" width="43.5703125" style="1" customWidth="1"/>
    <col min="15619" max="15619" width="6.7109375" style="1" customWidth="1"/>
    <col min="15620" max="15620" width="12.5703125" style="1" customWidth="1"/>
    <col min="15621" max="15621" width="11.42578125" style="1" customWidth="1"/>
    <col min="15622" max="15622" width="10.5703125" style="1" customWidth="1"/>
    <col min="15623" max="15872" width="9.140625" style="1"/>
    <col min="15873" max="15873" width="4.85546875" style="1" customWidth="1"/>
    <col min="15874" max="15874" width="43.5703125" style="1" customWidth="1"/>
    <col min="15875" max="15875" width="6.7109375" style="1" customWidth="1"/>
    <col min="15876" max="15876" width="12.5703125" style="1" customWidth="1"/>
    <col min="15877" max="15877" width="11.42578125" style="1" customWidth="1"/>
    <col min="15878" max="15878" width="10.5703125" style="1" customWidth="1"/>
    <col min="15879" max="16128" width="9.140625" style="1"/>
    <col min="16129" max="16129" width="4.85546875" style="1" customWidth="1"/>
    <col min="16130" max="16130" width="43.5703125" style="1" customWidth="1"/>
    <col min="16131" max="16131" width="6.7109375" style="1" customWidth="1"/>
    <col min="16132" max="16132" width="12.5703125" style="1" customWidth="1"/>
    <col min="16133" max="16133" width="11.42578125" style="1" customWidth="1"/>
    <col min="16134" max="16134" width="10.5703125" style="1" customWidth="1"/>
    <col min="16135" max="16384" width="9.140625" style="1"/>
  </cols>
  <sheetData>
    <row r="1" spans="1:7" x14ac:dyDescent="0.2">
      <c r="B1" s="273" t="s">
        <v>2</v>
      </c>
    </row>
    <row r="2" spans="1:7" x14ac:dyDescent="0.2">
      <c r="B2" s="273"/>
    </row>
    <row r="3" spans="1:7" x14ac:dyDescent="0.2">
      <c r="B3" s="326"/>
      <c r="C3" s="327" t="s">
        <v>187</v>
      </c>
      <c r="D3" s="327"/>
      <c r="E3" s="327"/>
    </row>
    <row r="4" spans="1:7" ht="12" thickBot="1" x14ac:dyDescent="0.25">
      <c r="B4" s="397" t="s">
        <v>188</v>
      </c>
      <c r="C4" s="398" t="s">
        <v>189</v>
      </c>
    </row>
    <row r="5" spans="1:7" x14ac:dyDescent="0.2">
      <c r="A5" s="328" t="s">
        <v>138</v>
      </c>
      <c r="B5" s="329" t="s">
        <v>139</v>
      </c>
      <c r="C5" s="329" t="s">
        <v>140</v>
      </c>
      <c r="D5" s="331" t="s">
        <v>142</v>
      </c>
      <c r="E5" s="332" t="s">
        <v>143</v>
      </c>
      <c r="F5" s="333" t="s">
        <v>144</v>
      </c>
    </row>
    <row r="6" spans="1:7" x14ac:dyDescent="0.2">
      <c r="A6" s="334" t="s">
        <v>145</v>
      </c>
      <c r="B6" s="335"/>
      <c r="C6" s="335"/>
      <c r="D6" s="337" t="s">
        <v>146</v>
      </c>
      <c r="E6" s="338" t="s">
        <v>147</v>
      </c>
      <c r="F6" s="339" t="s">
        <v>148</v>
      </c>
    </row>
    <row r="7" spans="1:7" x14ac:dyDescent="0.2">
      <c r="A7" s="340" t="s">
        <v>149</v>
      </c>
      <c r="B7" s="341" t="s">
        <v>150</v>
      </c>
      <c r="C7" s="342"/>
      <c r="D7" s="344">
        <f>'[1]IF 2023-2022 KN'!E7/$C$4</f>
        <v>559094.9631694206</v>
      </c>
      <c r="E7" s="345">
        <f>'[1]IF 2023-2022 KN'!F7/$C$4</f>
        <v>559094.9631694206</v>
      </c>
      <c r="F7" s="346">
        <f>E7-D7</f>
        <v>0</v>
      </c>
      <c r="G7" s="2"/>
    </row>
    <row r="8" spans="1:7" x14ac:dyDescent="0.2">
      <c r="A8" s="347"/>
      <c r="B8" s="348" t="s">
        <v>151</v>
      </c>
      <c r="C8" s="349"/>
      <c r="D8" s="350"/>
      <c r="E8" s="351"/>
      <c r="F8" s="352"/>
      <c r="G8" s="2"/>
    </row>
    <row r="9" spans="1:7" x14ac:dyDescent="0.2">
      <c r="A9" s="347"/>
      <c r="B9" s="348" t="s">
        <v>98</v>
      </c>
      <c r="C9" s="353">
        <v>0.56999999999999995</v>
      </c>
      <c r="D9" s="350">
        <f>'[1]IF 2023-2022 KN'!E9/$C$4</f>
        <v>318684.18607737735</v>
      </c>
      <c r="E9" s="351">
        <f>'[1]IF 2023-2022 KN'!F9/$C$4</f>
        <v>318684.18607737735</v>
      </c>
      <c r="F9" s="352">
        <f t="shared" ref="F9:F50" si="0">E9-D9</f>
        <v>0</v>
      </c>
      <c r="G9" s="2"/>
    </row>
    <row r="10" spans="1:7" x14ac:dyDescent="0.2">
      <c r="A10" s="347"/>
      <c r="B10" s="348" t="s">
        <v>99</v>
      </c>
      <c r="C10" s="353">
        <v>0.23</v>
      </c>
      <c r="D10" s="350">
        <f>'[1]IF 2023-2022 KN'!E10/$C$4</f>
        <v>128591.81100272082</v>
      </c>
      <c r="E10" s="351">
        <f>'[1]IF 2023-2022 KN'!F10/$C$4</f>
        <v>128591.81100272082</v>
      </c>
      <c r="F10" s="352">
        <f t="shared" si="0"/>
        <v>0</v>
      </c>
      <c r="G10" s="2"/>
    </row>
    <row r="11" spans="1:7" x14ac:dyDescent="0.2">
      <c r="A11" s="347"/>
      <c r="B11" s="348" t="s">
        <v>100</v>
      </c>
      <c r="C11" s="353">
        <v>0.14000000000000001</v>
      </c>
      <c r="D11" s="350">
        <f>'[1]IF 2023-2022 KN'!E11/$C$4</f>
        <v>78273.29484371889</v>
      </c>
      <c r="E11" s="351">
        <f>'[1]IF 2023-2022 KN'!F11/$C$4</f>
        <v>78273.29484371889</v>
      </c>
      <c r="F11" s="352">
        <f t="shared" si="0"/>
        <v>0</v>
      </c>
      <c r="G11" s="2"/>
    </row>
    <row r="12" spans="1:7" x14ac:dyDescent="0.2">
      <c r="A12" s="354"/>
      <c r="B12" s="355" t="s">
        <v>152</v>
      </c>
      <c r="C12" s="356">
        <v>0.06</v>
      </c>
      <c r="D12" s="350">
        <f>'[1]IF 2023-2022 KN'!E12/$C$4</f>
        <v>33545.697790165235</v>
      </c>
      <c r="E12" s="351">
        <f>'[1]IF 2023-2022 KN'!F12/$C$4</f>
        <v>33545.697790165235</v>
      </c>
      <c r="F12" s="359">
        <f t="shared" si="0"/>
        <v>0</v>
      </c>
      <c r="G12" s="2"/>
    </row>
    <row r="13" spans="1:7" x14ac:dyDescent="0.2">
      <c r="A13" s="360"/>
      <c r="B13" s="361" t="s">
        <v>102</v>
      </c>
      <c r="C13" s="362"/>
      <c r="D13" s="363">
        <f>D9+D10+D11+D12</f>
        <v>559094.98971398221</v>
      </c>
      <c r="E13" s="364">
        <f>E9+E10+E11+E12</f>
        <v>559094.98971398221</v>
      </c>
      <c r="F13" s="365">
        <f t="shared" si="0"/>
        <v>0</v>
      </c>
      <c r="G13" s="2"/>
    </row>
    <row r="14" spans="1:7" x14ac:dyDescent="0.2">
      <c r="A14" s="340" t="s">
        <v>153</v>
      </c>
      <c r="B14" s="341" t="s">
        <v>154</v>
      </c>
      <c r="C14" s="342"/>
      <c r="D14" s="344">
        <f>'[1]IF 2023-2022 KN'!E14/$C$4</f>
        <v>612581.98951489804</v>
      </c>
      <c r="E14" s="351">
        <f>'IF 2023-2022 KN'!F14/'IF 2023-2022 EUR'!C4</f>
        <v>748888.313756719</v>
      </c>
      <c r="F14" s="346">
        <f t="shared" si="0"/>
        <v>136306.32424182096</v>
      </c>
      <c r="G14" s="2"/>
    </row>
    <row r="15" spans="1:7" x14ac:dyDescent="0.2">
      <c r="A15" s="347"/>
      <c r="B15" s="348" t="s">
        <v>151</v>
      </c>
      <c r="C15" s="349"/>
      <c r="D15" s="350"/>
      <c r="E15" s="351"/>
      <c r="F15" s="352">
        <f t="shared" si="0"/>
        <v>0</v>
      </c>
      <c r="G15" s="2"/>
    </row>
    <row r="16" spans="1:7" x14ac:dyDescent="0.2">
      <c r="A16" s="347"/>
      <c r="B16" s="348" t="s">
        <v>155</v>
      </c>
      <c r="C16" s="349"/>
      <c r="D16" s="350">
        <f>'[1]IF 2023-2022 KN'!E16/$C$4</f>
        <v>265.44561682925212</v>
      </c>
      <c r="E16" s="351">
        <f>D16</f>
        <v>265.44561682925212</v>
      </c>
      <c r="F16" s="352">
        <f>E16-D16</f>
        <v>0</v>
      </c>
      <c r="G16" s="2"/>
    </row>
    <row r="17" spans="1:7" x14ac:dyDescent="0.2">
      <c r="A17" s="347"/>
      <c r="B17" s="348" t="s">
        <v>156</v>
      </c>
      <c r="C17" s="349"/>
      <c r="D17" s="350">
        <v>0</v>
      </c>
      <c r="E17" s="351">
        <f>'[1]IF 2023-2022 KN'!F17/$C$4</f>
        <v>0</v>
      </c>
      <c r="F17" s="352">
        <f>E17-D17</f>
        <v>0</v>
      </c>
      <c r="G17" s="2"/>
    </row>
    <row r="18" spans="1:7" x14ac:dyDescent="0.2">
      <c r="A18" s="347"/>
      <c r="B18" s="348" t="s">
        <v>157</v>
      </c>
      <c r="C18" s="349"/>
      <c r="D18" s="350">
        <v>0</v>
      </c>
      <c r="E18" s="351">
        <f>'[1]IF 2023-2022 KN'!F18/$C$4</f>
        <v>0</v>
      </c>
      <c r="F18" s="352">
        <f t="shared" si="0"/>
        <v>0</v>
      </c>
      <c r="G18" s="2"/>
    </row>
    <row r="19" spans="1:7" x14ac:dyDescent="0.2">
      <c r="A19" s="347"/>
      <c r="B19" s="348" t="s">
        <v>98</v>
      </c>
      <c r="C19" s="353">
        <v>0.56999999999999995</v>
      </c>
      <c r="D19" s="350">
        <f>'[1]IF 2023-2022 KN'!E19/$C$4</f>
        <v>349020.43002189923</v>
      </c>
      <c r="E19" s="351">
        <f>'IF 2023-2022 KN'!F19/'IF 2023-2022 EUR'!C4</f>
        <v>426715.03483973717</v>
      </c>
      <c r="F19" s="352">
        <f t="shared" si="0"/>
        <v>77694.604817837942</v>
      </c>
      <c r="G19" s="2"/>
    </row>
    <row r="20" spans="1:7" x14ac:dyDescent="0.2">
      <c r="A20" s="347"/>
      <c r="B20" s="348" t="s">
        <v>99</v>
      </c>
      <c r="C20" s="353">
        <v>0.23</v>
      </c>
      <c r="D20" s="350">
        <f>'[1]IF 2023-2022 KN'!E20/$C$4</f>
        <v>140832.80509655585</v>
      </c>
      <c r="E20" s="351">
        <f>'IF 2023-2022 KN'!F20/'IF 2023-2022 EUR'!C4</f>
        <v>172183.25967217467</v>
      </c>
      <c r="F20" s="352">
        <f t="shared" si="0"/>
        <v>31350.454575618816</v>
      </c>
      <c r="G20" s="2"/>
    </row>
    <row r="21" spans="1:7" x14ac:dyDescent="0.2">
      <c r="A21" s="347"/>
      <c r="B21" s="348" t="s">
        <v>100</v>
      </c>
      <c r="C21" s="353">
        <v>0.14000000000000001</v>
      </c>
      <c r="D21" s="350">
        <f>'[1]IF 2023-2022 KN'!E21/$C$4</f>
        <v>85724.316145729652</v>
      </c>
      <c r="E21" s="351">
        <f>'IF 2023-2022 KN'!F21/'IF 2023-2022 EUR'!C4</f>
        <v>104807.20153958458</v>
      </c>
      <c r="F21" s="352">
        <f t="shared" si="0"/>
        <v>19082.885393854929</v>
      </c>
      <c r="G21" s="2"/>
    </row>
    <row r="22" spans="1:7" x14ac:dyDescent="0.2">
      <c r="A22" s="354"/>
      <c r="B22" s="355" t="s">
        <v>152</v>
      </c>
      <c r="C22" s="356">
        <v>0.06</v>
      </c>
      <c r="D22" s="350">
        <f>'[1]IF 2023-2022 KN'!E22/$C$4</f>
        <v>36738.992633884132</v>
      </c>
      <c r="E22" s="351">
        <f>'IF 2023-2022 KN'!F22/'IF 2023-2022 EUR'!C4</f>
        <v>44917.372088393386</v>
      </c>
      <c r="F22" s="359">
        <f t="shared" si="0"/>
        <v>8178.3794545092533</v>
      </c>
      <c r="G22" s="2"/>
    </row>
    <row r="23" spans="1:7" x14ac:dyDescent="0.2">
      <c r="A23" s="360"/>
      <c r="B23" s="361" t="s">
        <v>158</v>
      </c>
      <c r="C23" s="366"/>
      <c r="D23" s="363">
        <f>D14-D16-D17-D18</f>
        <v>612316.54389806883</v>
      </c>
      <c r="E23" s="364">
        <f>E14-E16-E17-E18</f>
        <v>748622.86813988979</v>
      </c>
      <c r="F23" s="365">
        <f>E23-D23</f>
        <v>136306.32424182096</v>
      </c>
      <c r="G23" s="2"/>
    </row>
    <row r="24" spans="1:7" x14ac:dyDescent="0.2">
      <c r="A24" s="340" t="s">
        <v>159</v>
      </c>
      <c r="B24" s="341" t="s">
        <v>160</v>
      </c>
      <c r="C24" s="342"/>
      <c r="D24" s="344"/>
      <c r="E24" s="345"/>
      <c r="F24" s="346"/>
      <c r="G24" s="2"/>
    </row>
    <row r="25" spans="1:7" x14ac:dyDescent="0.2">
      <c r="A25" s="347" t="s">
        <v>161</v>
      </c>
      <c r="B25" s="348" t="s">
        <v>162</v>
      </c>
      <c r="C25" s="349"/>
      <c r="D25" s="350">
        <f>'[1]IF 2023-2022 KN'!E25/$C$4</f>
        <v>21965.624792620612</v>
      </c>
      <c r="E25" s="351">
        <f>'IF 2023-2022 KN'!F25/'IF 2023-2022 EUR'!C4</f>
        <v>20572.035304267036</v>
      </c>
      <c r="F25" s="352">
        <f t="shared" si="0"/>
        <v>-1393.5894883535766</v>
      </c>
      <c r="G25" s="2"/>
    </row>
    <row r="26" spans="1:7" ht="12.75" customHeight="1" x14ac:dyDescent="0.2">
      <c r="A26" s="347" t="s">
        <v>163</v>
      </c>
      <c r="B26" s="368" t="s">
        <v>164</v>
      </c>
      <c r="C26" s="369"/>
      <c r="D26" s="350">
        <f>'[1]IF 2023-2022 KN'!E26/$C$4</f>
        <v>3318.0702103656513</v>
      </c>
      <c r="E26" s="351">
        <f>'[1]IF 2023-2022 KN'!F26/$C$4</f>
        <v>3318.0702103656513</v>
      </c>
      <c r="F26" s="352">
        <f t="shared" si="0"/>
        <v>0</v>
      </c>
      <c r="G26" s="2"/>
    </row>
    <row r="27" spans="1:7" ht="12.75" customHeight="1" x14ac:dyDescent="0.2">
      <c r="A27" s="347" t="s">
        <v>165</v>
      </c>
      <c r="B27" s="368" t="s">
        <v>72</v>
      </c>
      <c r="C27" s="369"/>
      <c r="D27" s="350">
        <f>'[1]IF 2023-2022 KN'!E27/$C$4</f>
        <v>0</v>
      </c>
      <c r="E27" s="351">
        <f>'[1]IF 2023-2022 KN'!F27/$C$4</f>
        <v>2123.5649346340169</v>
      </c>
      <c r="F27" s="352">
        <f t="shared" si="0"/>
        <v>2123.5649346340169</v>
      </c>
      <c r="G27" s="2"/>
    </row>
    <row r="28" spans="1:7" ht="12.75" customHeight="1" x14ac:dyDescent="0.2">
      <c r="A28" s="370">
        <v>44289</v>
      </c>
      <c r="B28" s="368" t="s">
        <v>166</v>
      </c>
      <c r="C28" s="369"/>
      <c r="D28" s="350">
        <f>'[1]IF 2023-2022 KN'!E28/$C$4</f>
        <v>2654.4561682925209</v>
      </c>
      <c r="E28" s="351">
        <f>'[1]IF 2023-2022 KN'!F28/$C$4</f>
        <v>3185.3474019510249</v>
      </c>
      <c r="F28" s="352">
        <f t="shared" si="0"/>
        <v>530.89123365850401</v>
      </c>
      <c r="G28" s="2"/>
    </row>
    <row r="29" spans="1:7" x14ac:dyDescent="0.2">
      <c r="A29" s="347" t="s">
        <v>167</v>
      </c>
      <c r="B29" s="368" t="s">
        <v>168</v>
      </c>
      <c r="C29" s="369"/>
      <c r="D29" s="350">
        <f>'[1]IF 2023-2022 KN'!E29/$C$4</f>
        <v>26013.670449266705</v>
      </c>
      <c r="E29" s="351">
        <f>'[1]IF 2023-2022 KN'!F29/$C$4</f>
        <v>27473.621341827591</v>
      </c>
      <c r="F29" s="352">
        <f t="shared" si="0"/>
        <v>1459.9508925608861</v>
      </c>
      <c r="G29" s="2"/>
    </row>
    <row r="30" spans="1:7" x14ac:dyDescent="0.2">
      <c r="A30" s="347" t="s">
        <v>169</v>
      </c>
      <c r="B30" s="368" t="s">
        <v>170</v>
      </c>
      <c r="C30" s="369"/>
      <c r="D30" s="350">
        <f>'[1]IF 2023-2022 KN'!E30/$C$4</f>
        <v>2521.7333598778951</v>
      </c>
      <c r="E30" s="351">
        <f>'[1]IF 2023-2022 KN'!F30/$C$4</f>
        <v>1061.7824673170085</v>
      </c>
      <c r="F30" s="352">
        <f t="shared" si="0"/>
        <v>-1459.9508925608866</v>
      </c>
      <c r="G30" s="2"/>
    </row>
    <row r="31" spans="1:7" ht="12.75" customHeight="1" x14ac:dyDescent="0.2">
      <c r="A31" s="347" t="s">
        <v>171</v>
      </c>
      <c r="B31" s="368" t="s">
        <v>172</v>
      </c>
      <c r="C31" s="369"/>
      <c r="D31" s="350">
        <f>'[1]IF 2023-2022 KN'!E31/$C$4</f>
        <v>199084.21262193908</v>
      </c>
      <c r="E31" s="351">
        <f>'[1]IF 2023-2022 KN'!F31/$C$4</f>
        <v>199084.21262193908</v>
      </c>
      <c r="F31" s="352">
        <f t="shared" si="0"/>
        <v>0</v>
      </c>
      <c r="G31" s="2"/>
    </row>
    <row r="32" spans="1:7" x14ac:dyDescent="0.2">
      <c r="A32" s="347" t="s">
        <v>173</v>
      </c>
      <c r="B32" s="368" t="s">
        <v>174</v>
      </c>
      <c r="C32" s="369"/>
      <c r="D32" s="350">
        <f>'[1]IF 2023-2022 KN'!E32/$C$4</f>
        <v>464529.82945119118</v>
      </c>
      <c r="E32" s="351">
        <f>'[1]IF 2023-2022 KN'!F32/$C$4</f>
        <v>464529.82945119118</v>
      </c>
      <c r="F32" s="352">
        <f t="shared" si="0"/>
        <v>0</v>
      </c>
      <c r="G32" s="2"/>
    </row>
    <row r="33" spans="1:7" x14ac:dyDescent="0.2">
      <c r="A33" s="190"/>
      <c r="B33" s="371" t="s">
        <v>175</v>
      </c>
      <c r="C33" s="372"/>
      <c r="D33" s="363">
        <f>SUM(D25:D32)</f>
        <v>720087.59705355368</v>
      </c>
      <c r="E33" s="364">
        <f>SUM(E25:E32)</f>
        <v>721348.46373349265</v>
      </c>
      <c r="F33" s="365">
        <f>SUM(F25:F32)</f>
        <v>1260.8666799389439</v>
      </c>
      <c r="G33" s="2"/>
    </row>
    <row r="34" spans="1:7" x14ac:dyDescent="0.2">
      <c r="A34" s="347"/>
      <c r="B34" s="348" t="s">
        <v>151</v>
      </c>
      <c r="C34" s="349"/>
      <c r="D34" s="350"/>
      <c r="E34" s="351"/>
      <c r="F34" s="352"/>
      <c r="G34" s="2"/>
    </row>
    <row r="35" spans="1:7" x14ac:dyDescent="0.2">
      <c r="A35" s="347"/>
      <c r="B35" s="348" t="s">
        <v>155</v>
      </c>
      <c r="C35" s="349"/>
      <c r="D35" s="350">
        <f>'[1]IF 2023-2022 KN'!E35/$C$4</f>
        <v>3052.6245935363991</v>
      </c>
      <c r="E35" s="351">
        <f>'[1]IF 2023-2022 KN'!F35/$C$4</f>
        <v>3981.6842524387812</v>
      </c>
      <c r="F35" s="352">
        <f t="shared" si="0"/>
        <v>929.05965890238213</v>
      </c>
      <c r="G35" s="2"/>
    </row>
    <row r="36" spans="1:7" x14ac:dyDescent="0.2">
      <c r="A36" s="347"/>
      <c r="B36" s="348" t="s">
        <v>176</v>
      </c>
      <c r="C36" s="349"/>
      <c r="D36" s="350">
        <f>'[1]IF 2023-2022 KN'!E36/$C$4</f>
        <v>464.52982945119118</v>
      </c>
      <c r="E36" s="351">
        <f>'[1]IF 2023-2022 KN'!F36/$C$4</f>
        <v>0</v>
      </c>
      <c r="F36" s="352">
        <f t="shared" si="0"/>
        <v>-464.52982945119118</v>
      </c>
      <c r="G36" s="2"/>
    </row>
    <row r="37" spans="1:7" x14ac:dyDescent="0.2">
      <c r="A37" s="347"/>
      <c r="B37" s="348" t="s">
        <v>177</v>
      </c>
      <c r="C37" s="349"/>
      <c r="D37" s="350">
        <f>'[1]IF 2023-2022 KN'!E37/$C$4</f>
        <v>199084.21262193908</v>
      </c>
      <c r="E37" s="351">
        <f>'[1]IF 2023-2022 KN'!F37/$C$4</f>
        <v>199084.21262193908</v>
      </c>
      <c r="F37" s="352">
        <f t="shared" si="0"/>
        <v>0</v>
      </c>
      <c r="G37" s="2"/>
    </row>
    <row r="38" spans="1:7" x14ac:dyDescent="0.2">
      <c r="A38" s="347"/>
      <c r="B38" s="348" t="s">
        <v>178</v>
      </c>
      <c r="C38" s="349"/>
      <c r="D38" s="350">
        <f>'[1]IF 2023-2022 KN'!E38/$C$4</f>
        <v>464529.82945119118</v>
      </c>
      <c r="E38" s="351">
        <f>'[1]IF 2023-2022 KN'!F38/$C$4</f>
        <v>464529.82945119118</v>
      </c>
      <c r="F38" s="352">
        <f t="shared" si="0"/>
        <v>0</v>
      </c>
      <c r="G38" s="2"/>
    </row>
    <row r="39" spans="1:7" x14ac:dyDescent="0.2">
      <c r="A39" s="190"/>
      <c r="B39" s="361" t="s">
        <v>179</v>
      </c>
      <c r="C39" s="366"/>
      <c r="D39" s="363">
        <f>D33-D35-D36-D37-D38</f>
        <v>52956.400557435816</v>
      </c>
      <c r="E39" s="364">
        <f>E33-E35-E36-E37-E38</f>
        <v>53752.73740792356</v>
      </c>
      <c r="F39" s="373">
        <f>E39-D39</f>
        <v>796.3368504877435</v>
      </c>
      <c r="G39" s="2"/>
    </row>
    <row r="40" spans="1:7" x14ac:dyDescent="0.2">
      <c r="A40" s="347"/>
      <c r="B40" s="348" t="s">
        <v>98</v>
      </c>
      <c r="C40" s="353">
        <v>0.56999999999999995</v>
      </c>
      <c r="D40" s="350">
        <f>'[1]IF 2023-2022 KN'!E40/$C$4</f>
        <v>30185.148317738396</v>
      </c>
      <c r="E40" s="351">
        <f>E39*0.57</f>
        <v>30639.060322516427</v>
      </c>
      <c r="F40" s="352">
        <f t="shared" si="0"/>
        <v>453.91200477803068</v>
      </c>
      <c r="G40" s="2"/>
    </row>
    <row r="41" spans="1:7" x14ac:dyDescent="0.2">
      <c r="A41" s="347"/>
      <c r="B41" s="348" t="s">
        <v>99</v>
      </c>
      <c r="C41" s="353">
        <v>0.23</v>
      </c>
      <c r="D41" s="350">
        <f>'[1]IF 2023-2022 KN'!E41/$C$4</f>
        <v>12179.972128210233</v>
      </c>
      <c r="E41" s="351">
        <f>E39*0.23</f>
        <v>12363.129603822419</v>
      </c>
      <c r="F41" s="352">
        <f t="shared" si="0"/>
        <v>183.15747561218632</v>
      </c>
      <c r="G41" s="2"/>
    </row>
    <row r="42" spans="1:7" x14ac:dyDescent="0.2">
      <c r="A42" s="347"/>
      <c r="B42" s="348" t="s">
        <v>100</v>
      </c>
      <c r="C42" s="353">
        <v>0.14000000000000001</v>
      </c>
      <c r="D42" s="350">
        <f>'[1]IF 2023-2022 KN'!E42/$C$4</f>
        <v>7413.8960780410116</v>
      </c>
      <c r="E42" s="351">
        <f>E39*0.14</f>
        <v>7525.3832371092994</v>
      </c>
      <c r="F42" s="352">
        <f t="shared" si="0"/>
        <v>111.48715906828784</v>
      </c>
      <c r="G42" s="2"/>
    </row>
    <row r="43" spans="1:7" x14ac:dyDescent="0.2">
      <c r="A43" s="347"/>
      <c r="B43" s="348" t="s">
        <v>152</v>
      </c>
      <c r="C43" s="353">
        <v>0.06</v>
      </c>
      <c r="D43" s="350">
        <f>'[1]IF 2023-2022 KN'!E43/$C$4</f>
        <v>3177.3840334461474</v>
      </c>
      <c r="E43" s="351">
        <f>E39*0.06</f>
        <v>3225.1642444754134</v>
      </c>
      <c r="F43" s="352">
        <f t="shared" si="0"/>
        <v>47.780211029265956</v>
      </c>
      <c r="G43" s="2"/>
    </row>
    <row r="44" spans="1:7" x14ac:dyDescent="0.2">
      <c r="A44" s="190"/>
      <c r="B44" s="361" t="s">
        <v>102</v>
      </c>
      <c r="C44" s="366"/>
      <c r="D44" s="363">
        <f>SUM(D40:D43)</f>
        <v>52956.400557435794</v>
      </c>
      <c r="E44" s="364">
        <f>SUM(E40:E43)</f>
        <v>53752.73740792356</v>
      </c>
      <c r="F44" s="365">
        <f t="shared" si="0"/>
        <v>796.33685048776533</v>
      </c>
      <c r="G44" s="2"/>
    </row>
    <row r="45" spans="1:7" x14ac:dyDescent="0.2">
      <c r="A45" s="340"/>
      <c r="B45" s="341" t="s">
        <v>180</v>
      </c>
      <c r="C45" s="342"/>
      <c r="D45" s="374"/>
      <c r="E45" s="375"/>
      <c r="F45" s="376">
        <f t="shared" si="0"/>
        <v>0</v>
      </c>
    </row>
    <row r="46" spans="1:7" x14ac:dyDescent="0.2">
      <c r="A46" s="347"/>
      <c r="B46" s="348" t="s">
        <v>98</v>
      </c>
      <c r="C46" s="349"/>
      <c r="D46" s="350">
        <f>D19+D40+D9</f>
        <v>697889.76441701502</v>
      </c>
      <c r="E46" s="351">
        <f>E19+E40+E9</f>
        <v>776038.28123963089</v>
      </c>
      <c r="F46" s="352">
        <f t="shared" si="0"/>
        <v>78148.516822615871</v>
      </c>
    </row>
    <row r="47" spans="1:7" x14ac:dyDescent="0.2">
      <c r="A47" s="347"/>
      <c r="B47" s="348" t="s">
        <v>99</v>
      </c>
      <c r="C47" s="349"/>
      <c r="D47" s="350">
        <f t="shared" ref="D47:E49" si="1">D10+D20+D41</f>
        <v>281604.58822748694</v>
      </c>
      <c r="E47" s="351">
        <f t="shared" si="1"/>
        <v>313138.20027871791</v>
      </c>
      <c r="F47" s="352">
        <f t="shared" si="0"/>
        <v>31533.612051230972</v>
      </c>
    </row>
    <row r="48" spans="1:7" x14ac:dyDescent="0.2">
      <c r="A48" s="347"/>
      <c r="B48" s="348" t="s">
        <v>100</v>
      </c>
      <c r="C48" s="349"/>
      <c r="D48" s="350">
        <f t="shared" si="1"/>
        <v>171411.50706748955</v>
      </c>
      <c r="E48" s="351">
        <f t="shared" si="1"/>
        <v>190605.87962041277</v>
      </c>
      <c r="F48" s="352">
        <f t="shared" si="0"/>
        <v>19194.372552923218</v>
      </c>
    </row>
    <row r="49" spans="1:7" x14ac:dyDescent="0.2">
      <c r="A49" s="354"/>
      <c r="B49" s="355" t="s">
        <v>152</v>
      </c>
      <c r="C49" s="377"/>
      <c r="D49" s="357">
        <f t="shared" si="1"/>
        <v>73462.074457495502</v>
      </c>
      <c r="E49" s="358">
        <f t="shared" si="1"/>
        <v>81688.234123034039</v>
      </c>
      <c r="F49" s="359">
        <f t="shared" si="0"/>
        <v>8226.1596655385365</v>
      </c>
    </row>
    <row r="50" spans="1:7" ht="12" thickBot="1" x14ac:dyDescent="0.25">
      <c r="A50" s="378"/>
      <c r="B50" s="379" t="s">
        <v>102</v>
      </c>
      <c r="C50" s="380"/>
      <c r="D50" s="382">
        <f>SUM(D46:D49)</f>
        <v>1224367.9341694871</v>
      </c>
      <c r="E50" s="383">
        <f>SUM(E46:E49)</f>
        <v>1361470.5952617954</v>
      </c>
      <c r="F50" s="384">
        <f t="shared" si="0"/>
        <v>137102.66109230835</v>
      </c>
    </row>
    <row r="51" spans="1:7" x14ac:dyDescent="0.2">
      <c r="B51" s="1" t="s">
        <v>181</v>
      </c>
    </row>
    <row r="52" spans="1:7" x14ac:dyDescent="0.2">
      <c r="B52" s="327" t="s">
        <v>182</v>
      </c>
      <c r="C52" s="327"/>
      <c r="D52" s="327"/>
      <c r="E52" s="327"/>
      <c r="F52" s="327"/>
    </row>
    <row r="53" spans="1:7" x14ac:dyDescent="0.2">
      <c r="B53" s="385" t="s">
        <v>183</v>
      </c>
      <c r="D53" s="386">
        <f>D46-D9</f>
        <v>379205.57833963766</v>
      </c>
      <c r="E53" s="386">
        <f>E46-E9</f>
        <v>457354.09516225354</v>
      </c>
      <c r="F53" s="386">
        <f>E53-D53</f>
        <v>78148.516822615871</v>
      </c>
    </row>
    <row r="54" spans="1:7" x14ac:dyDescent="0.2">
      <c r="B54" s="387" t="s">
        <v>184</v>
      </c>
      <c r="D54" s="262">
        <f>D20+D41</f>
        <v>153012.77722476609</v>
      </c>
      <c r="E54" s="262">
        <f>E20+E41</f>
        <v>184546.38927599709</v>
      </c>
      <c r="F54" s="262">
        <f>E54-D54</f>
        <v>31533.612051231001</v>
      </c>
      <c r="G54" s="3"/>
    </row>
    <row r="55" spans="1:7" x14ac:dyDescent="0.2">
      <c r="B55" s="388" t="s">
        <v>185</v>
      </c>
      <c r="C55" s="389"/>
      <c r="D55" s="391">
        <f>D48-D11</f>
        <v>93138.212223770664</v>
      </c>
      <c r="E55" s="391">
        <f>E48-E11</f>
        <v>112332.58477669388</v>
      </c>
      <c r="F55" s="391">
        <f>E55-D55</f>
        <v>19194.372552923218</v>
      </c>
    </row>
    <row r="56" spans="1:7" x14ac:dyDescent="0.2">
      <c r="B56" s="392" t="s">
        <v>186</v>
      </c>
      <c r="C56" s="393"/>
      <c r="D56" s="287">
        <f>D49-D12</f>
        <v>39916.376667330267</v>
      </c>
      <c r="E56" s="287">
        <f>E49-E12</f>
        <v>48142.536332868804</v>
      </c>
      <c r="F56" s="287">
        <f>E56-D56</f>
        <v>8226.1596655385365</v>
      </c>
    </row>
    <row r="57" spans="1:7" x14ac:dyDescent="0.2">
      <c r="B57" s="394"/>
      <c r="C57" s="394"/>
      <c r="D57" s="74">
        <f>SUM(D53:D56)</f>
        <v>665272.94445550477</v>
      </c>
      <c r="E57" s="395">
        <f>SUM(E53:E56)</f>
        <v>802375.60554781335</v>
      </c>
      <c r="F57" s="396">
        <f>SUM(F53:F56)-1</f>
        <v>137101.66109230864</v>
      </c>
      <c r="G57" s="273" t="s">
        <v>7</v>
      </c>
    </row>
    <row r="58" spans="1:7" x14ac:dyDescent="0.2">
      <c r="D58" s="3"/>
    </row>
    <row r="59" spans="1:7" x14ac:dyDescent="0.2">
      <c r="D59" s="2"/>
    </row>
    <row r="60" spans="1:7" x14ac:dyDescent="0.2">
      <c r="D60" s="2"/>
    </row>
    <row r="61" spans="1:7" x14ac:dyDescent="0.2">
      <c r="D61" s="2"/>
    </row>
    <row r="62" spans="1:7" x14ac:dyDescent="0.2">
      <c r="D62" s="268"/>
      <c r="E62" s="4"/>
      <c r="F62" s="4"/>
    </row>
    <row r="63" spans="1:7" x14ac:dyDescent="0.2">
      <c r="D63" s="2"/>
    </row>
    <row r="64" spans="1:7" x14ac:dyDescent="0.2">
      <c r="D64" s="2"/>
    </row>
    <row r="65" spans="4:4" x14ac:dyDescent="0.2">
      <c r="D65" s="2"/>
    </row>
    <row r="66" spans="4:4" x14ac:dyDescent="0.2">
      <c r="D66" s="2"/>
    </row>
  </sheetData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2023</vt:lpstr>
      <vt:lpstr>IF 2023-2022 KN</vt:lpstr>
      <vt:lpstr>IF 2023-2022 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lastPrinted>2022-12-28T10:15:00Z</cp:lastPrinted>
  <dcterms:created xsi:type="dcterms:W3CDTF">2022-09-07T05:57:44Z</dcterms:created>
  <dcterms:modified xsi:type="dcterms:W3CDTF">2022-12-28T10:15:17Z</dcterms:modified>
</cp:coreProperties>
</file>